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44" activeTab="0"/>
  </bookViews>
  <sheets>
    <sheet name="cronograma" sheetId="1" r:id="rId1"/>
    <sheet name="mapa" sheetId="2" r:id="rId2"/>
    <sheet name="balanço" sheetId="3" r:id="rId3"/>
    <sheet name="panfleto" sheetId="4" r:id="rId4"/>
    <sheet name="cartaz" sheetId="5" r:id="rId5"/>
    <sheet name="circular" sheetId="6" r:id="rId6"/>
    <sheet name="convite" sheetId="7" r:id="rId7"/>
    <sheet name="tiket_G" sheetId="8" r:id="rId8"/>
    <sheet name="ingredientes" sheetId="9" r:id="rId9"/>
    <sheet name="prendas" sheetId="10" r:id="rId10"/>
  </sheets>
  <definedNames>
    <definedName name="_xlnm.Print_Area" localSheetId="2">'balanço'!$A$1:$K$77</definedName>
    <definedName name="_xlnm.Print_Area" localSheetId="4">'cartaz'!$A$1:$E$30</definedName>
    <definedName name="_xlnm.Print_Area" localSheetId="5">'circular'!$A$1:$J$130</definedName>
    <definedName name="_xlnm.Print_Area" localSheetId="6">'convite'!$A$1:$C$65</definedName>
    <definedName name="_xlnm.Print_Area" localSheetId="0">'cronograma'!$A$14:$O$53</definedName>
    <definedName name="_xlnm.Print_Area" localSheetId="8">'ingredientes'!$A$1:$J$27</definedName>
    <definedName name="_xlnm.Print_Area" localSheetId="1">'mapa'!$A$1:$Q$60</definedName>
    <definedName name="_xlnm.Print_Area" localSheetId="3">'panfleto'!$A$1:$J$64</definedName>
    <definedName name="_xlnm.Print_Area" localSheetId="7">'tiket_G'!$A$4:$F$18</definedName>
  </definedNames>
  <calcPr fullCalcOnLoad="1"/>
</workbook>
</file>

<file path=xl/sharedStrings.xml><?xml version="1.0" encoding="utf-8"?>
<sst xmlns="http://schemas.openxmlformats.org/spreadsheetml/2006/main" count="569" uniqueCount="363">
  <si>
    <t>jovem</t>
  </si>
  <si>
    <t>nº ingresso</t>
  </si>
  <si>
    <t>R</t>
  </si>
  <si>
    <t>entrega</t>
  </si>
  <si>
    <t>pagamento</t>
  </si>
  <si>
    <t>qt</t>
  </si>
  <si>
    <t>pç</t>
  </si>
  <si>
    <t>L</t>
  </si>
  <si>
    <t>venda</t>
  </si>
  <si>
    <t>um</t>
  </si>
  <si>
    <t>item</t>
  </si>
  <si>
    <t>quem compra</t>
  </si>
  <si>
    <t>doação</t>
  </si>
  <si>
    <t>quantidade</t>
  </si>
  <si>
    <t>convites</t>
  </si>
  <si>
    <t>jovens doam</t>
  </si>
  <si>
    <t>tem no GEG</t>
  </si>
  <si>
    <t>papel toalha</t>
  </si>
  <si>
    <t>refrigerante</t>
  </si>
  <si>
    <t>R$</t>
  </si>
  <si>
    <t>Esperamos por você!!!</t>
  </si>
  <si>
    <t>SEMPRE ALERTA!!!</t>
  </si>
  <si>
    <t>Grupo Escoteiro Guaianazes 68/SP</t>
  </si>
  <si>
    <t xml:space="preserve">Solicitamos como colaboração da sua família </t>
  </si>
  <si>
    <t>A Diretoria do Grupo</t>
  </si>
  <si>
    <t>Obrigado ! ! !</t>
  </si>
  <si>
    <t xml:space="preserve">      Festa da Pizza do
         GE Guaianazes</t>
  </si>
  <si>
    <t>junko</t>
  </si>
  <si>
    <t>ilma</t>
  </si>
  <si>
    <t>4357-2643</t>
  </si>
  <si>
    <t>4345-1024</t>
  </si>
  <si>
    <t>4390-8290</t>
  </si>
  <si>
    <t>andreia</t>
  </si>
  <si>
    <t>DOMIGO</t>
  </si>
  <si>
    <t>SEGUNDA</t>
  </si>
  <si>
    <t>TERÇA</t>
  </si>
  <si>
    <t>QUARTA</t>
  </si>
  <si>
    <t>QUINTA</t>
  </si>
  <si>
    <t>SEXTA</t>
  </si>
  <si>
    <t>SÁBADO</t>
  </si>
  <si>
    <t>dia da festa</t>
  </si>
  <si>
    <t>acerto</t>
  </si>
  <si>
    <t>distribuição</t>
  </si>
  <si>
    <t>relatório</t>
  </si>
  <si>
    <t>distribuir convites em cada seção</t>
  </si>
  <si>
    <t>receber os convites e devoluções, anotando no mapa</t>
  </si>
  <si>
    <t>D.Técnico</t>
  </si>
  <si>
    <t>D.Financeiro</t>
  </si>
  <si>
    <t>þ</t>
  </si>
  <si>
    <t>data</t>
  </si>
  <si>
    <t>tarefa</t>
  </si>
  <si>
    <t>responsável</t>
  </si>
  <si>
    <t>realização</t>
  </si>
  <si>
    <t>imprimir e distribuir propaganda</t>
  </si>
  <si>
    <t>imprimir 4 fls. do mapa de vendas (um por seção)</t>
  </si>
  <si>
    <t>imprimir 60 fls. de convites, numerar e cortar</t>
  </si>
  <si>
    <t>juntar os 4 mapas num único</t>
  </si>
  <si>
    <t>resumo</t>
  </si>
  <si>
    <t>propaganda</t>
  </si>
  <si>
    <t>todos</t>
  </si>
  <si>
    <t>grampear a circular e os 3 convites de cada jovem</t>
  </si>
  <si>
    <t>elaborar balancete de receita e despesas</t>
  </si>
  <si>
    <t>apresentar relatório e prestação de contas</t>
  </si>
  <si>
    <t>nome da festa:</t>
  </si>
  <si>
    <t>data:</t>
  </si>
  <si>
    <t xml:space="preserve">
      </t>
  </si>
  <si>
    <t>unidade:</t>
  </si>
  <si>
    <t>horários:</t>
  </si>
  <si>
    <t>início:</t>
  </si>
  <si>
    <t>término:</t>
  </si>
  <si>
    <t>endereço:</t>
  </si>
  <si>
    <t>Av. Imp. Leopoldina, 730</t>
  </si>
  <si>
    <t>cidade:</t>
  </si>
  <si>
    <t>Nova Petrópolis - SBCampo</t>
  </si>
  <si>
    <t>reduzido:</t>
  </si>
  <si>
    <t>GE Guaianazes</t>
  </si>
  <si>
    <t>Grupo Escoteiro Guaianazes 68ºSP</t>
  </si>
  <si>
    <t>dá direito à:</t>
  </si>
  <si>
    <t>colocar as bebidas no gelo</t>
  </si>
  <si>
    <t>receber as doações e anotar (bebidas, copos, papel toalha)</t>
  </si>
  <si>
    <t xml:space="preserve">   antes</t>
  </si>
  <si>
    <t xml:space="preserve">   durante</t>
  </si>
  <si>
    <t xml:space="preserve"> depois</t>
  </si>
  <si>
    <t>limpar a sede e colocar o lixo para fora</t>
  </si>
  <si>
    <t>preço do convite:</t>
  </si>
  <si>
    <t>Festa Junina</t>
  </si>
  <si>
    <t>um jogo</t>
  </si>
  <si>
    <t>espetinho</t>
  </si>
  <si>
    <t>um espetinho</t>
  </si>
  <si>
    <t>espetinho de carne</t>
  </si>
  <si>
    <t>espetinho de lingüiça</t>
  </si>
  <si>
    <t>cachorro quente</t>
  </si>
  <si>
    <t>copos de 200ml</t>
  </si>
  <si>
    <t>oferta:</t>
  </si>
  <si>
    <t>chamada:</t>
  </si>
  <si>
    <t>telefone:</t>
  </si>
  <si>
    <t>4122-5393</t>
  </si>
  <si>
    <t>imprimir 15+3 fls. da circular aos jovens</t>
  </si>
  <si>
    <t>preparar churrasqueira e formas</t>
  </si>
  <si>
    <t>Jovens</t>
  </si>
  <si>
    <t>conteúdo dos tiquetes</t>
  </si>
  <si>
    <t>preços dos tíquetes</t>
  </si>
  <si>
    <t>outros preços</t>
  </si>
  <si>
    <t>BALANCETE  FINANCEIRO  DA  ATIVIDADE:</t>
  </si>
  <si>
    <t xml:space="preserve">RECEITA: </t>
  </si>
  <si>
    <t>ü</t>
  </si>
  <si>
    <t xml:space="preserve">total da receita:     </t>
  </si>
  <si>
    <t xml:space="preserve">DESPESA: </t>
  </si>
  <si>
    <t>rec.s/nº</t>
  </si>
  <si>
    <t xml:space="preserve">total da despesa:     </t>
  </si>
  <si>
    <t xml:space="preserve">SALDO: </t>
  </si>
  <si>
    <t>total da receita</t>
  </si>
  <si>
    <t>total da despesa</t>
  </si>
  <si>
    <t>total recebido</t>
  </si>
  <si>
    <t xml:space="preserve">RESTOS A RECEBER: </t>
  </si>
  <si>
    <t>valores à receber</t>
  </si>
  <si>
    <t>coordenador do evento</t>
  </si>
  <si>
    <t>soma dos ingressos:</t>
  </si>
  <si>
    <t>soma das vendas:</t>
  </si>
  <si>
    <t>NF.nº</t>
  </si>
  <si>
    <t xml:space="preserve">saldo da atividade:     </t>
  </si>
  <si>
    <r>
      <t>ingressos a receber</t>
    </r>
    <r>
      <rPr>
        <b/>
        <sz val="10"/>
        <rFont val="Arial"/>
        <family val="2"/>
      </rPr>
      <t xml:space="preserve"> </t>
    </r>
  </si>
  <si>
    <t>venda de tiquetes de alimentos e bebibas</t>
  </si>
  <si>
    <t>venda de tiquetes de jogos</t>
  </si>
  <si>
    <t>valor já recebido pelo GEG</t>
  </si>
  <si>
    <t>contas a receber no caixa da festa</t>
  </si>
  <si>
    <t>venda das sobras de alimentos</t>
  </si>
  <si>
    <t>200ml de refrigerante</t>
  </si>
  <si>
    <t>FL</t>
  </si>
  <si>
    <t>espeto de lingüiça</t>
  </si>
  <si>
    <t>espeto de carne</t>
  </si>
  <si>
    <t>total vendido</t>
  </si>
  <si>
    <t>antecipados</t>
  </si>
  <si>
    <t>compra</t>
  </si>
  <si>
    <t>verde</t>
  </si>
  <si>
    <t>rosa</t>
  </si>
  <si>
    <t>amarelo</t>
  </si>
  <si>
    <t>palha</t>
  </si>
  <si>
    <t>S</t>
  </si>
  <si>
    <t>E</t>
  </si>
  <si>
    <t>D</t>
  </si>
  <si>
    <t>ingressos recebidos antecipados</t>
  </si>
  <si>
    <t>cheques entregues ao Ch. x</t>
  </si>
  <si>
    <t>dinheiro repassado ao Ch. x</t>
  </si>
  <si>
    <t>devol.</t>
  </si>
  <si>
    <t>vendido</t>
  </si>
  <si>
    <t>venda de bingo</t>
  </si>
  <si>
    <t>carne</t>
  </si>
  <si>
    <t>caixa=164</t>
  </si>
  <si>
    <t>bufalo</t>
  </si>
  <si>
    <t>cavalo</t>
  </si>
  <si>
    <t>gemini</t>
  </si>
  <si>
    <t>sol</t>
  </si>
  <si>
    <t>pioneiros</t>
  </si>
  <si>
    <t>lobinho</t>
  </si>
  <si>
    <t>tiquetes de jogos</t>
  </si>
  <si>
    <t>patr/seção</t>
  </si>
  <si>
    <t>quant</t>
  </si>
  <si>
    <t xml:space="preserve"> </t>
  </si>
  <si>
    <t>quant * 0,25</t>
  </si>
  <si>
    <t>Alcateia</t>
  </si>
  <si>
    <t>Escoteiro</t>
  </si>
  <si>
    <t>Senior</t>
  </si>
  <si>
    <t>Pioneiro</t>
  </si>
  <si>
    <t>Adultos</t>
  </si>
  <si>
    <t>prendas</t>
  </si>
  <si>
    <t>salgados</t>
  </si>
  <si>
    <t>VAI TER: bingo, jogos, comidas típicas e muita animação !</t>
  </si>
  <si>
    <t>FESTA ! ! !</t>
  </si>
  <si>
    <t>doce ou pipoca</t>
  </si>
  <si>
    <t>arroz doce ou canjica</t>
  </si>
  <si>
    <t>pedaço de bolo ou torta</t>
  </si>
  <si>
    <t>pastel</t>
  </si>
  <si>
    <t>jogo</t>
  </si>
  <si>
    <t>ingresso pago até 26/junho custa R$5,00</t>
  </si>
  <si>
    <t>a venda de ingressos para os amigos, parentes,</t>
  </si>
  <si>
    <t>doando prendas, entregando-as dia do acerto,</t>
  </si>
  <si>
    <t>E no dia da festa, doando um prato de salgados.</t>
  </si>
  <si>
    <t>doando prendas e 2 rolos de papel toalha,</t>
  </si>
  <si>
    <t>doando prendas e 50 copos de 200ml,</t>
  </si>
  <si>
    <t xml:space="preserve"> entregando-as dia do acerto.</t>
  </si>
  <si>
    <t>doando prendas e 4 L de refrigerante,</t>
  </si>
  <si>
    <t>Padrão OURO !!!</t>
  </si>
  <si>
    <t>Ch.Denise</t>
  </si>
  <si>
    <t>Ch.Luiz</t>
  </si>
  <si>
    <t>Ch.Daiane</t>
  </si>
  <si>
    <t>Juliana</t>
  </si>
  <si>
    <t>João Victor</t>
  </si>
  <si>
    <t>Ch.Mauricio</t>
  </si>
  <si>
    <t>Ingrid</t>
  </si>
  <si>
    <t>Fabricio E.Santo</t>
  </si>
  <si>
    <t>Gabriel</t>
  </si>
  <si>
    <t>Pedro H.A.</t>
  </si>
  <si>
    <t>Higor</t>
  </si>
  <si>
    <t>Miguel</t>
  </si>
  <si>
    <t>Rafaella</t>
  </si>
  <si>
    <t>Matheus A.</t>
  </si>
  <si>
    <t>Rodrigo</t>
  </si>
  <si>
    <t>Bestriz Cursino</t>
  </si>
  <si>
    <t>Audrey</t>
  </si>
  <si>
    <t>Mariana</t>
  </si>
  <si>
    <t>Bruno</t>
  </si>
  <si>
    <t>Vinicius</t>
  </si>
  <si>
    <t>Matheus Xavier</t>
  </si>
  <si>
    <t>Melissa</t>
  </si>
  <si>
    <t>milho</t>
  </si>
  <si>
    <t>Rayane</t>
  </si>
  <si>
    <t>Diego Memoli</t>
  </si>
  <si>
    <t>Wadson</t>
  </si>
  <si>
    <t>Gabriel Janavicius</t>
  </si>
  <si>
    <t>Mario</t>
  </si>
  <si>
    <t>João Carlos</t>
  </si>
  <si>
    <t>Natalia</t>
  </si>
  <si>
    <t>Ana Paula</t>
  </si>
  <si>
    <t>Lucas Inácio</t>
  </si>
  <si>
    <t>Arthur</t>
  </si>
  <si>
    <t>Daniel</t>
  </si>
  <si>
    <t>Matheus</t>
  </si>
  <si>
    <t>Leonardo</t>
  </si>
  <si>
    <t>Akilah</t>
  </si>
  <si>
    <t>Diego São João</t>
  </si>
  <si>
    <t>Kaique</t>
  </si>
  <si>
    <t>José Marcos</t>
  </si>
  <si>
    <t>Gustavo Soller</t>
  </si>
  <si>
    <t>Danilo</t>
  </si>
  <si>
    <t>Pedro</t>
  </si>
  <si>
    <t>Bianca</t>
  </si>
  <si>
    <t>Rafael</t>
  </si>
  <si>
    <t>Cainã</t>
  </si>
  <si>
    <t>Ch.Patricia</t>
  </si>
  <si>
    <t>Ch.Paula</t>
  </si>
  <si>
    <t>Ch.Fernando</t>
  </si>
  <si>
    <t>Ch.Leandro</t>
  </si>
  <si>
    <t>Giovana</t>
  </si>
  <si>
    <t>4l refrigerante</t>
  </si>
  <si>
    <t xml:space="preserve">pesca e </t>
  </si>
  <si>
    <t xml:space="preserve">meleca e </t>
  </si>
  <si>
    <t>boal ao cesto e caldeirão</t>
  </si>
  <si>
    <t>argola, tomba lata, caixa surpresa, boca de palhaço</t>
  </si>
  <si>
    <t>2 papel toalha, 50 copo descartáveis</t>
  </si>
  <si>
    <t>Ch.Rosi</t>
  </si>
  <si>
    <t>Ana Beatriz</t>
  </si>
  <si>
    <t>uma pipoca E um doce</t>
  </si>
  <si>
    <t>Douglas</t>
  </si>
  <si>
    <t>Carol</t>
  </si>
  <si>
    <t>Laura</t>
  </si>
  <si>
    <t>Gustavo</t>
  </si>
  <si>
    <t>Icaro</t>
  </si>
  <si>
    <t>Caio</t>
  </si>
  <si>
    <t>Filipe</t>
  </si>
  <si>
    <t>Ariane</t>
  </si>
  <si>
    <t>Ch.Bia</t>
  </si>
  <si>
    <t>Fabiana</t>
  </si>
  <si>
    <t>Jessica</t>
  </si>
  <si>
    <t>Henrique</t>
  </si>
  <si>
    <t>Ch.Braulio</t>
  </si>
  <si>
    <t>P</t>
  </si>
  <si>
    <t>Samuel</t>
  </si>
  <si>
    <t xml:space="preserve">Julia </t>
  </si>
  <si>
    <t>Victor Inácio</t>
  </si>
  <si>
    <t>Felipe E.Santo</t>
  </si>
  <si>
    <t>Cabello/Guilherme</t>
  </si>
  <si>
    <t>Cabello/2Jorge</t>
  </si>
  <si>
    <t>Ilma</t>
  </si>
  <si>
    <t>Ramin</t>
  </si>
  <si>
    <t>Dª.Helena</t>
  </si>
  <si>
    <t>Cida</t>
  </si>
  <si>
    <t>várias pessoas</t>
  </si>
  <si>
    <t>Cabello/Fabiana</t>
  </si>
  <si>
    <t>branco</t>
  </si>
  <si>
    <t>uma pipoca OU um doce</t>
  </si>
  <si>
    <t>festa de 2010</t>
  </si>
  <si>
    <t>senior 1</t>
  </si>
  <si>
    <t>senior 2</t>
  </si>
  <si>
    <t>senior 3</t>
  </si>
  <si>
    <t xml:space="preserve">blocos de 
5fls. x 5 </t>
  </si>
  <si>
    <t>imprimir as  folhas de tiquetes em papel colorido, cortar tiras e blocar</t>
  </si>
  <si>
    <t>1 pessoa</t>
  </si>
  <si>
    <t>comprar prendas na R. 25 de março</t>
  </si>
  <si>
    <t>D.Admin.Adj.</t>
  </si>
  <si>
    <t>mão de obra</t>
  </si>
  <si>
    <t>tempo</t>
  </si>
  <si>
    <t>4 pessoas</t>
  </si>
  <si>
    <t>2 pessoas</t>
  </si>
  <si>
    <t>orc.724.096</t>
  </si>
  <si>
    <t>Escurra (prendas: imãs, bottons, chaveiros)</t>
  </si>
  <si>
    <t>preparativos de anos anteriores</t>
  </si>
  <si>
    <t>imãs</t>
  </si>
  <si>
    <t>imãs de cerâmica</t>
  </si>
  <si>
    <t>bottons</t>
  </si>
  <si>
    <t>bolas de sabão</t>
  </si>
  <si>
    <t>estalos</t>
  </si>
  <si>
    <t>Mr. Mágico</t>
  </si>
  <si>
    <t>Chaveiro Inseto</t>
  </si>
  <si>
    <t>Chaveiro Chinelo</t>
  </si>
  <si>
    <t>Toca dos Bichos</t>
  </si>
  <si>
    <t>Carrinhos (10)</t>
  </si>
  <si>
    <t>Pega vareta</t>
  </si>
  <si>
    <t>Raquete com bola</t>
  </si>
  <si>
    <t>Chaveiro cubo</t>
  </si>
  <si>
    <t>Bola cravo</t>
  </si>
  <si>
    <t>Yoyo</t>
  </si>
  <si>
    <t>Paraquedista</t>
  </si>
  <si>
    <t>Moto trisson</t>
  </si>
  <si>
    <t>Tictac</t>
  </si>
  <si>
    <t>Apito juiz</t>
  </si>
  <si>
    <t>Apito trisson</t>
  </si>
  <si>
    <t>Chaveiro coração</t>
  </si>
  <si>
    <t>Chaveiro laser</t>
  </si>
  <si>
    <t>Helicóptero</t>
  </si>
  <si>
    <t>Chaveiro crec crec</t>
  </si>
  <si>
    <t>Aquaplay</t>
  </si>
  <si>
    <t>Carrinho a corda</t>
  </si>
  <si>
    <t>chaveiros</t>
  </si>
  <si>
    <t>Banca de rua (prendas: cortador de unha)</t>
  </si>
  <si>
    <t>Distr.São Marcos (prendas: diversas)</t>
  </si>
  <si>
    <t>Antonio J. de Souza Silva - ME (prendas: imãs)</t>
  </si>
  <si>
    <t>loja (prendas: pulseiras de neon)</t>
  </si>
  <si>
    <t>Pulseiras de neon</t>
  </si>
  <si>
    <t>prendas compradas em 2010</t>
  </si>
  <si>
    <t>Cortador de unhas</t>
  </si>
  <si>
    <t>Aquaplay Disney</t>
  </si>
  <si>
    <t>ingressos recebidos no dia da festa</t>
  </si>
  <si>
    <t>25% do tiquete</t>
  </si>
  <si>
    <t>CCF. 5.759</t>
  </si>
  <si>
    <t>CCF. 28.327</t>
  </si>
  <si>
    <t>Roberto Negri - ME (prenda do Bingo - Cobertor)</t>
  </si>
  <si>
    <t>CCF. 186.011</t>
  </si>
  <si>
    <t>CCF. 22.457</t>
  </si>
  <si>
    <t>Assai (alimentação)</t>
  </si>
  <si>
    <r>
      <t>Edson &amp; Emilia</t>
    </r>
    <r>
      <rPr>
        <sz val="8"/>
        <rFont val="Arial"/>
        <family val="2"/>
      </rPr>
      <t xml:space="preserve"> (200 pasteis queijo e 150 de carne)</t>
    </r>
  </si>
  <si>
    <t>óleo de souja</t>
  </si>
  <si>
    <t>pcte</t>
  </si>
  <si>
    <t>pirulitos</t>
  </si>
  <si>
    <t>papel toalha para banheiro</t>
  </si>
  <si>
    <t>glão 5L</t>
  </si>
  <si>
    <t>óleo de soja</t>
  </si>
  <si>
    <t>g. 2,5L</t>
  </si>
  <si>
    <t>suco de uva aurora</t>
  </si>
  <si>
    <t>v</t>
  </si>
  <si>
    <t>leite de coco</t>
  </si>
  <si>
    <t>coco ralado</t>
  </si>
  <si>
    <t>latas</t>
  </si>
  <si>
    <t>leite condensado</t>
  </si>
  <si>
    <t>canela em pó</t>
  </si>
  <si>
    <t>refrigerante de 2L</t>
  </si>
  <si>
    <t>rolos</t>
  </si>
  <si>
    <t>papel aluminio 40 cm</t>
  </si>
  <si>
    <t>carvão grande</t>
  </si>
  <si>
    <t>pesca e maçã</t>
  </si>
  <si>
    <t>argola</t>
  </si>
  <si>
    <t>tomba lata</t>
  </si>
  <si>
    <t>boca de palhaço</t>
  </si>
  <si>
    <t>caixa surpresa</t>
  </si>
  <si>
    <r>
      <t xml:space="preserve">venda das sobras de alimentos </t>
    </r>
    <r>
      <rPr>
        <sz val="8"/>
        <rFont val="Arial"/>
        <family val="2"/>
      </rPr>
      <t>(Suco de Uva ao Sr.Ivo)</t>
    </r>
  </si>
  <si>
    <t>Cacau Show (prendas do Bingo)</t>
  </si>
  <si>
    <t>....................................................</t>
  </si>
  <si>
    <t>meleca na abobora</t>
  </si>
  <si>
    <t>marshmalow</t>
  </si>
  <si>
    <t>pão de caçador</t>
  </si>
  <si>
    <t>semente</t>
  </si>
  <si>
    <t>Armarinhos Fernando Ltda (prendas do Bingo)</t>
  </si>
  <si>
    <t>doação Andréia Sachez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</si>
</sst>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[$-416]dddd\,\ d&quot; de &quot;mmmm&quot; de &quot;yyyy"/>
    <numFmt numFmtId="178" formatCode="###&quot;.&quot;###&quot;.&quot;##0&quot;-&quot;?"/>
    <numFmt numFmtId="179" formatCode="[$-416]d\-mmm;@"/>
    <numFmt numFmtId="180" formatCode="dd"/>
    <numFmt numFmtId="181" formatCode="mmmm&quot;/&quot;yyyy"/>
    <numFmt numFmtId="182" formatCode="mmmm/yyyy"/>
    <numFmt numFmtId="183" formatCode="d"/>
    <numFmt numFmtId="184" formatCode="h:mm;@"/>
    <numFmt numFmtId="185" formatCode="_ [$$-2C0A]\ * #,##0.00_ ;_ [$$-2C0A]\ * \-#,##0.00_ ;_ [$$-2C0A]\ * &quot;-&quot;??_ ;_ @_ "/>
    <numFmt numFmtId="186" formatCode="[$$-2C0A]\ #,##0.00"/>
    <numFmt numFmtId="187" formatCode="###&quot;.&quot;##0\-0"/>
    <numFmt numFmtId="188" formatCode="###&quot;.&quot;###&quot;.&quot;##0&quot;-&quot;0"/>
    <numFmt numFmtId="189" formatCode="&quot;R$&quot;#,##0_);\(&quot;R$&quot;#,##0\)"/>
    <numFmt numFmtId="190" formatCode="&quot;R$&quot;#,##0_);[Red]\(&quot;R$&quot;#,##0\)"/>
    <numFmt numFmtId="191" formatCode="&quot;R$&quot;#,##0.00_);\(&quot;R$&quot;#,##0.00\)"/>
    <numFmt numFmtId="192" formatCode="&quot;R$&quot;#,##0.00_);[Red]\(&quot;R$&quot;#,##0.00\)"/>
    <numFmt numFmtId="193" formatCode="_(&quot;R$&quot;* #,##0_);_(&quot;R$&quot;* \(#,##0\);_(&quot;R$&quot;* &quot;-&quot;_);_(@_)"/>
    <numFmt numFmtId="194" formatCode="_(&quot;R$&quot;* #,##0.00_);_(&quot;R$&quot;* \(#,##0.00\);_(&quot;R$&quot;* &quot;-&quot;??_);_(@_)"/>
    <numFmt numFmtId="195" formatCode="&quot;R$&quot;\ #,##0"/>
    <numFmt numFmtId="196" formatCode="&quot;R$&quot;\ #,##0.00"/>
    <numFmt numFmtId="197" formatCode="&quot;R$&quot;\ #,##0.0"/>
    <numFmt numFmtId="198" formatCode="[$$-2C0A]\ #,##0"/>
    <numFmt numFmtId="199" formatCode="_###0\ &quot;min&quot;"/>
    <numFmt numFmtId="200" formatCode="_###0\ &quot;min.&quot;"/>
  </numFmts>
  <fonts count="80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Comic Sans MS"/>
      <family val="4"/>
    </font>
    <font>
      <sz val="16"/>
      <name val="Arial Black"/>
      <family val="2"/>
    </font>
    <font>
      <sz val="9.2"/>
      <name val="Arial Black"/>
      <family val="2"/>
    </font>
    <font>
      <sz val="16"/>
      <color indexed="8"/>
      <name val="Arial Black"/>
      <family val="2"/>
    </font>
    <font>
      <sz val="16"/>
      <name val="Arial"/>
      <family val="2"/>
    </font>
    <font>
      <sz val="9"/>
      <color indexed="8"/>
      <name val="Arial Black"/>
      <family val="2"/>
    </font>
    <font>
      <sz val="12"/>
      <name val="Times New Roman"/>
      <family val="1"/>
    </font>
    <font>
      <sz val="10"/>
      <name val="Arial Black"/>
      <family val="2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Wingdings"/>
      <family val="0"/>
    </font>
    <font>
      <b/>
      <sz val="10"/>
      <name val="Wingdings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3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b/>
      <sz val="28"/>
      <name val="Comic Sans MS"/>
      <family val="4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Arial Black"/>
      <family val="2"/>
    </font>
    <font>
      <b/>
      <sz val="18"/>
      <name val="Arial Narrow"/>
      <family val="2"/>
    </font>
    <font>
      <b/>
      <i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5"/>
      <color indexed="22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4"/>
      <name val="Bodoni MT Black"/>
      <family val="1"/>
    </font>
    <font>
      <b/>
      <sz val="1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dashed"/>
      <bottom style="dashed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Dashed"/>
      <right style="mediumDashed"/>
      <top style="mediumDash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Dashed"/>
      <top>
        <color indexed="63"/>
      </top>
      <bottom style="mediumDashed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Dash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16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3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6" fillId="35" borderId="27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2" xfId="0" applyFill="1" applyBorder="1" applyAlignment="1">
      <alignment/>
    </xf>
    <xf numFmtId="0" fontId="4" fillId="35" borderId="29" xfId="0" applyFont="1" applyFill="1" applyBorder="1" applyAlignment="1">
      <alignment/>
    </xf>
    <xf numFmtId="0" fontId="2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0" borderId="26" xfId="0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0" fillId="0" borderId="32" xfId="0" applyBorder="1" applyAlignment="1">
      <alignment horizontal="right" indent="1"/>
    </xf>
    <xf numFmtId="0" fontId="0" fillId="0" borderId="32" xfId="0" applyFill="1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0" fillId="37" borderId="0" xfId="0" applyFill="1" applyAlignment="1">
      <alignment horizontal="right" indent="1"/>
    </xf>
    <xf numFmtId="0" fontId="0" fillId="37" borderId="0" xfId="0" applyFill="1" applyAlignment="1">
      <alignment horizontal="left"/>
    </xf>
    <xf numFmtId="0" fontId="0" fillId="37" borderId="0" xfId="0" applyFill="1" applyAlignment="1">
      <alignment horizontal="left" indent="1"/>
    </xf>
    <xf numFmtId="0" fontId="0" fillId="37" borderId="0" xfId="0" applyFill="1" applyAlignment="1">
      <alignment horizontal="left" indent="2"/>
    </xf>
    <xf numFmtId="0" fontId="12" fillId="38" borderId="33" xfId="0" applyFont="1" applyFill="1" applyBorder="1" applyAlignment="1">
      <alignment wrapText="1" shrinkToFit="1"/>
    </xf>
    <xf numFmtId="0" fontId="13" fillId="38" borderId="0" xfId="0" applyFont="1" applyFill="1" applyBorder="1" applyAlignment="1">
      <alignment/>
    </xf>
    <xf numFmtId="0" fontId="13" fillId="38" borderId="34" xfId="0" applyFont="1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4" xfId="0" applyFill="1" applyBorder="1" applyAlignment="1">
      <alignment/>
    </xf>
    <xf numFmtId="0" fontId="14" fillId="38" borderId="33" xfId="0" applyFont="1" applyFill="1" applyBorder="1" applyAlignment="1">
      <alignment wrapText="1" shrinkToFit="1"/>
    </xf>
    <xf numFmtId="0" fontId="14" fillId="38" borderId="0" xfId="0" applyFont="1" applyFill="1" applyBorder="1" applyAlignment="1">
      <alignment wrapText="1" shrinkToFit="1"/>
    </xf>
    <xf numFmtId="0" fontId="14" fillId="38" borderId="34" xfId="0" applyFont="1" applyFill="1" applyBorder="1" applyAlignment="1">
      <alignment wrapText="1" shrinkToFit="1"/>
    </xf>
    <xf numFmtId="0" fontId="15" fillId="38" borderId="33" xfId="0" applyFont="1" applyFill="1" applyBorder="1" applyAlignment="1">
      <alignment wrapText="1" shrinkToFit="1"/>
    </xf>
    <xf numFmtId="0" fontId="15" fillId="38" borderId="0" xfId="0" applyFont="1" applyFill="1" applyBorder="1" applyAlignment="1">
      <alignment wrapText="1" shrinkToFit="1"/>
    </xf>
    <xf numFmtId="0" fontId="15" fillId="38" borderId="34" xfId="0" applyFont="1" applyFill="1" applyBorder="1" applyAlignment="1">
      <alignment wrapText="1" shrinkToFit="1"/>
    </xf>
    <xf numFmtId="0" fontId="14" fillId="38" borderId="33" xfId="0" applyFont="1" applyFill="1" applyBorder="1" applyAlignment="1">
      <alignment horizontal="center" wrapText="1" shrinkToFit="1"/>
    </xf>
    <xf numFmtId="0" fontId="14" fillId="38" borderId="0" xfId="0" applyFont="1" applyFill="1" applyBorder="1" applyAlignment="1">
      <alignment horizontal="center" wrapText="1" shrinkToFit="1"/>
    </xf>
    <xf numFmtId="0" fontId="14" fillId="38" borderId="34" xfId="0" applyFont="1" applyFill="1" applyBorder="1" applyAlignment="1">
      <alignment horizontal="center" wrapText="1" shrinkToFit="1"/>
    </xf>
    <xf numFmtId="0" fontId="4" fillId="0" borderId="0" xfId="0" applyFont="1" applyAlignment="1">
      <alignment/>
    </xf>
    <xf numFmtId="0" fontId="6" fillId="0" borderId="35" xfId="0" applyFont="1" applyFill="1" applyBorder="1" applyAlignment="1">
      <alignment/>
    </xf>
    <xf numFmtId="0" fontId="0" fillId="0" borderId="0" xfId="0" applyBorder="1" applyAlignment="1">
      <alignment horizontal="left" indent="1"/>
    </xf>
    <xf numFmtId="182" fontId="0" fillId="0" borderId="0" xfId="0" applyNumberFormat="1" applyAlignment="1">
      <alignment/>
    </xf>
    <xf numFmtId="0" fontId="20" fillId="39" borderId="1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40" borderId="14" xfId="0" applyFont="1" applyFill="1" applyBorder="1" applyAlignment="1">
      <alignment horizontal="center"/>
    </xf>
    <xf numFmtId="0" fontId="22" fillId="41" borderId="14" xfId="0" applyFont="1" applyFill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183" fontId="6" fillId="0" borderId="0" xfId="0" applyNumberFormat="1" applyFont="1" applyAlignment="1">
      <alignment horizontal="center"/>
    </xf>
    <xf numFmtId="183" fontId="4" fillId="0" borderId="0" xfId="0" applyNumberFormat="1" applyFont="1" applyAlignment="1">
      <alignment horizontal="center"/>
    </xf>
    <xf numFmtId="14" fontId="5" fillId="34" borderId="14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14" fontId="0" fillId="37" borderId="0" xfId="0" applyNumberFormat="1" applyFill="1" applyAlignment="1">
      <alignment/>
    </xf>
    <xf numFmtId="183" fontId="25" fillId="0" borderId="0" xfId="0" applyNumberFormat="1" applyFont="1" applyAlignment="1">
      <alignment horizontal="center"/>
    </xf>
    <xf numFmtId="183" fontId="26" fillId="0" borderId="0" xfId="0" applyNumberFormat="1" applyFont="1" applyAlignment="1">
      <alignment horizontal="center"/>
    </xf>
    <xf numFmtId="0" fontId="5" fillId="42" borderId="14" xfId="0" applyFont="1" applyFill="1" applyBorder="1" applyAlignment="1">
      <alignment/>
    </xf>
    <xf numFmtId="14" fontId="5" fillId="42" borderId="14" xfId="0" applyNumberFormat="1" applyFont="1" applyFill="1" applyBorder="1" applyAlignment="1">
      <alignment/>
    </xf>
    <xf numFmtId="0" fontId="5" fillId="42" borderId="14" xfId="0" applyFont="1" applyFill="1" applyBorder="1" applyAlignment="1">
      <alignment horizontal="center"/>
    </xf>
    <xf numFmtId="14" fontId="4" fillId="41" borderId="14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42" borderId="0" xfId="0" applyFill="1" applyAlignment="1">
      <alignment/>
    </xf>
    <xf numFmtId="0" fontId="5" fillId="42" borderId="0" xfId="0" applyFont="1" applyFill="1" applyAlignment="1">
      <alignment horizontal="right"/>
    </xf>
    <xf numFmtId="0" fontId="6" fillId="42" borderId="0" xfId="0" applyFont="1" applyFill="1" applyAlignment="1">
      <alignment/>
    </xf>
    <xf numFmtId="0" fontId="10" fillId="0" borderId="36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5" fillId="42" borderId="0" xfId="0" applyFont="1" applyFill="1" applyAlignment="1">
      <alignment/>
    </xf>
    <xf numFmtId="14" fontId="5" fillId="34" borderId="37" xfId="0" applyNumberFormat="1" applyFont="1" applyFill="1" applyBorder="1" applyAlignment="1">
      <alignment/>
    </xf>
    <xf numFmtId="0" fontId="5" fillId="34" borderId="37" xfId="0" applyFont="1" applyFill="1" applyBorder="1" applyAlignment="1">
      <alignment/>
    </xf>
    <xf numFmtId="14" fontId="5" fillId="34" borderId="24" xfId="0" applyNumberFormat="1" applyFont="1" applyFill="1" applyBorder="1" applyAlignment="1">
      <alignment/>
    </xf>
    <xf numFmtId="0" fontId="5" fillId="34" borderId="24" xfId="0" applyFont="1" applyFill="1" applyBorder="1" applyAlignment="1">
      <alignment/>
    </xf>
    <xf numFmtId="14" fontId="4" fillId="41" borderId="37" xfId="0" applyNumberFormat="1" applyFont="1" applyFill="1" applyBorder="1" applyAlignment="1">
      <alignment/>
    </xf>
    <xf numFmtId="0" fontId="4" fillId="41" borderId="37" xfId="0" applyFont="1" applyFill="1" applyBorder="1" applyAlignment="1">
      <alignment/>
    </xf>
    <xf numFmtId="0" fontId="5" fillId="35" borderId="27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4" borderId="38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14" fontId="20" fillId="34" borderId="14" xfId="0" applyNumberFormat="1" applyFont="1" applyFill="1" applyBorder="1" applyAlignment="1">
      <alignment/>
    </xf>
    <xf numFmtId="0" fontId="6" fillId="43" borderId="0" xfId="0" applyFont="1" applyFill="1" applyAlignment="1">
      <alignment horizontal="left"/>
    </xf>
    <xf numFmtId="167" fontId="6" fillId="43" borderId="0" xfId="0" applyNumberFormat="1" applyFont="1" applyFill="1" applyAlignment="1">
      <alignment/>
    </xf>
    <xf numFmtId="0" fontId="5" fillId="42" borderId="0" xfId="0" applyFont="1" applyFill="1" applyAlignment="1">
      <alignment/>
    </xf>
    <xf numFmtId="0" fontId="6" fillId="3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0" fillId="3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4" borderId="37" xfId="0" applyFont="1" applyFill="1" applyBorder="1" applyAlignment="1">
      <alignment horizontal="center"/>
    </xf>
    <xf numFmtId="0" fontId="0" fillId="42" borderId="0" xfId="0" applyFill="1" applyAlignment="1">
      <alignment horizontal="right"/>
    </xf>
    <xf numFmtId="0" fontId="23" fillId="34" borderId="14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24" fillId="41" borderId="14" xfId="0" applyFont="1" applyFill="1" applyBorder="1" applyAlignment="1">
      <alignment horizontal="center"/>
    </xf>
    <xf numFmtId="0" fontId="24" fillId="41" borderId="37" xfId="0" applyFont="1" applyFill="1" applyBorder="1" applyAlignment="1">
      <alignment horizontal="center"/>
    </xf>
    <xf numFmtId="0" fontId="6" fillId="42" borderId="0" xfId="0" applyFont="1" applyFill="1" applyAlignment="1">
      <alignment horizontal="left"/>
    </xf>
    <xf numFmtId="167" fontId="0" fillId="42" borderId="0" xfId="0" applyNumberFormat="1" applyFill="1" applyAlignment="1">
      <alignment/>
    </xf>
    <xf numFmtId="0" fontId="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30" fillId="0" borderId="39" xfId="0" applyFont="1" applyBorder="1" applyAlignment="1">
      <alignment horizontal="center" vertical="center"/>
    </xf>
    <xf numFmtId="0" fontId="19" fillId="38" borderId="33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9" fillId="38" borderId="34" xfId="0" applyFont="1" applyFill="1" applyBorder="1" applyAlignment="1">
      <alignment/>
    </xf>
    <xf numFmtId="0" fontId="34" fillId="0" borderId="40" xfId="0" applyFont="1" applyBorder="1" applyAlignment="1">
      <alignment horizontal="right" vertical="center" indent="1"/>
    </xf>
    <xf numFmtId="0" fontId="0" fillId="39" borderId="14" xfId="0" applyFill="1" applyBorder="1" applyAlignment="1">
      <alignment vertical="center"/>
    </xf>
    <xf numFmtId="167" fontId="0" fillId="39" borderId="14" xfId="0" applyNumberFormat="1" applyFill="1" applyBorder="1" applyAlignment="1">
      <alignment vertical="center"/>
    </xf>
    <xf numFmtId="167" fontId="6" fillId="43" borderId="14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7" fontId="36" fillId="0" borderId="0" xfId="47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47" applyNumberFormat="1" applyFont="1" applyAlignment="1">
      <alignment horizontal="left"/>
    </xf>
    <xf numFmtId="0" fontId="5" fillId="0" borderId="0" xfId="47" applyNumberFormat="1" applyFont="1" applyAlignment="1">
      <alignment horizontal="right"/>
    </xf>
    <xf numFmtId="170" fontId="36" fillId="0" borderId="0" xfId="47" applyFont="1" applyAlignment="1">
      <alignment horizontal="left" indent="2"/>
    </xf>
    <xf numFmtId="0" fontId="36" fillId="0" borderId="0" xfId="0" applyFont="1" applyAlignment="1">
      <alignment horizontal="left" indent="2"/>
    </xf>
    <xf numFmtId="170" fontId="0" fillId="0" borderId="0" xfId="47" applyAlignment="1">
      <alignment/>
    </xf>
    <xf numFmtId="37" fontId="36" fillId="0" borderId="0" xfId="47" applyNumberFormat="1" applyFont="1" applyAlignment="1">
      <alignment/>
    </xf>
    <xf numFmtId="170" fontId="40" fillId="0" borderId="0" xfId="47" applyFont="1" applyAlignment="1">
      <alignment/>
    </xf>
    <xf numFmtId="0" fontId="37" fillId="0" borderId="0" xfId="0" applyFont="1" applyAlignment="1">
      <alignment/>
    </xf>
    <xf numFmtId="14" fontId="0" fillId="0" borderId="0" xfId="0" applyNumberFormat="1" applyFill="1" applyAlignment="1">
      <alignment/>
    </xf>
    <xf numFmtId="0" fontId="23" fillId="42" borderId="0" xfId="0" applyFont="1" applyFill="1" applyAlignment="1">
      <alignment/>
    </xf>
    <xf numFmtId="170" fontId="0" fillId="0" borderId="0" xfId="47" applyBorder="1" applyAlignment="1">
      <alignment/>
    </xf>
    <xf numFmtId="170" fontId="0" fillId="0" borderId="41" xfId="47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38" fillId="0" borderId="0" xfId="0" applyNumberFormat="1" applyFont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6" fontId="39" fillId="0" borderId="42" xfId="0" applyNumberFormat="1" applyFont="1" applyBorder="1" applyAlignment="1">
      <alignment/>
    </xf>
    <xf numFmtId="14" fontId="0" fillId="0" borderId="0" xfId="0" applyNumberFormat="1" applyAlignment="1">
      <alignment/>
    </xf>
    <xf numFmtId="170" fontId="0" fillId="0" borderId="0" xfId="47" applyFill="1" applyAlignment="1">
      <alignment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170" fontId="0" fillId="0" borderId="0" xfId="47" applyFill="1" applyBorder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76" fontId="39" fillId="0" borderId="0" xfId="0" applyNumberFormat="1" applyFont="1" applyAlignment="1">
      <alignment/>
    </xf>
    <xf numFmtId="166" fontId="36" fillId="0" borderId="0" xfId="47" applyNumberFormat="1" applyFont="1" applyAlignment="1">
      <alignment horizontal="left"/>
    </xf>
    <xf numFmtId="39" fontId="36" fillId="0" borderId="0" xfId="47" applyNumberFormat="1" applyFont="1" applyAlignment="1">
      <alignment horizontal="left"/>
    </xf>
    <xf numFmtId="170" fontId="36" fillId="0" borderId="0" xfId="47" applyFont="1" applyAlignment="1">
      <alignment horizontal="left"/>
    </xf>
    <xf numFmtId="176" fontId="0" fillId="0" borderId="0" xfId="47" applyNumberFormat="1" applyAlignment="1">
      <alignment/>
    </xf>
    <xf numFmtId="176" fontId="0" fillId="0" borderId="41" xfId="47" applyNumberForma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7" applyNumberFormat="1" applyFont="1" applyAlignment="1">
      <alignment/>
    </xf>
    <xf numFmtId="170" fontId="36" fillId="0" borderId="0" xfId="47" applyFont="1" applyAlignment="1">
      <alignment/>
    </xf>
    <xf numFmtId="0" fontId="37" fillId="37" borderId="0" xfId="0" applyFont="1" applyFill="1" applyAlignment="1">
      <alignment/>
    </xf>
    <xf numFmtId="170" fontId="0" fillId="37" borderId="0" xfId="0" applyNumberFormat="1" applyFill="1" applyAlignment="1">
      <alignment/>
    </xf>
    <xf numFmtId="0" fontId="36" fillId="37" borderId="0" xfId="0" applyFont="1" applyFill="1" applyAlignment="1">
      <alignment/>
    </xf>
    <xf numFmtId="170" fontId="36" fillId="37" borderId="0" xfId="47" applyFont="1" applyFill="1" applyAlignment="1">
      <alignment/>
    </xf>
    <xf numFmtId="170" fontId="0" fillId="37" borderId="0" xfId="47" applyFill="1" applyAlignment="1">
      <alignment/>
    </xf>
    <xf numFmtId="0" fontId="5" fillId="37" borderId="0" xfId="0" applyFont="1" applyFill="1" applyAlignment="1">
      <alignment/>
    </xf>
    <xf numFmtId="0" fontId="6" fillId="44" borderId="43" xfId="0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4" fillId="37" borderId="0" xfId="0" applyFont="1" applyFill="1" applyAlignment="1">
      <alignment horizontal="right" vertical="center"/>
    </xf>
    <xf numFmtId="3" fontId="4" fillId="37" borderId="0" xfId="0" applyNumberFormat="1" applyFont="1" applyFill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42" borderId="43" xfId="0" applyFont="1" applyFill="1" applyBorder="1" applyAlignment="1">
      <alignment horizontal="center"/>
    </xf>
    <xf numFmtId="0" fontId="6" fillId="37" borderId="0" xfId="0" applyFont="1" applyFill="1" applyAlignment="1">
      <alignment horizontal="left" vertical="center"/>
    </xf>
    <xf numFmtId="195" fontId="5" fillId="0" borderId="44" xfId="0" applyNumberFormat="1" applyFont="1" applyBorder="1" applyAlignment="1">
      <alignment/>
    </xf>
    <xf numFmtId="195" fontId="5" fillId="0" borderId="38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67" fontId="6" fillId="37" borderId="0" xfId="0" applyNumberFormat="1" applyFont="1" applyFill="1" applyAlignment="1">
      <alignment horizontal="right" vertical="center"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 vertical="center"/>
    </xf>
    <xf numFmtId="167" fontId="0" fillId="0" borderId="0" xfId="47" applyNumberFormat="1" applyBorder="1" applyAlignment="1">
      <alignment/>
    </xf>
    <xf numFmtId="0" fontId="0" fillId="45" borderId="29" xfId="0" applyFill="1" applyBorder="1" applyAlignment="1">
      <alignment/>
    </xf>
    <xf numFmtId="0" fontId="0" fillId="45" borderId="45" xfId="0" applyFill="1" applyBorder="1" applyAlignment="1">
      <alignment/>
    </xf>
    <xf numFmtId="0" fontId="0" fillId="45" borderId="28" xfId="0" applyFill="1" applyBorder="1" applyAlignment="1">
      <alignment/>
    </xf>
    <xf numFmtId="0" fontId="0" fillId="36" borderId="0" xfId="0" applyFill="1" applyBorder="1" applyAlignment="1">
      <alignment/>
    </xf>
    <xf numFmtId="0" fontId="14" fillId="36" borderId="0" xfId="0" applyFont="1" applyFill="1" applyBorder="1" applyAlignment="1">
      <alignment wrapText="1" shrinkToFit="1"/>
    </xf>
    <xf numFmtId="0" fontId="15" fillId="36" borderId="0" xfId="0" applyFont="1" applyFill="1" applyBorder="1" applyAlignment="1">
      <alignment wrapText="1" shrinkToFit="1"/>
    </xf>
    <xf numFmtId="0" fontId="10" fillId="38" borderId="36" xfId="0" applyFont="1" applyFill="1" applyBorder="1" applyAlignment="1">
      <alignment vertical="center" wrapText="1"/>
    </xf>
    <xf numFmtId="0" fontId="10" fillId="38" borderId="33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vertical="center" wrapText="1"/>
    </xf>
    <xf numFmtId="0" fontId="10" fillId="38" borderId="34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right" vertical="top"/>
    </xf>
    <xf numFmtId="167" fontId="6" fillId="43" borderId="43" xfId="0" applyNumberFormat="1" applyFont="1" applyFill="1" applyBorder="1" applyAlignment="1">
      <alignment horizontal="left"/>
    </xf>
    <xf numFmtId="14" fontId="0" fillId="0" borderId="16" xfId="0" applyNumberFormat="1" applyBorder="1" applyAlignment="1">
      <alignment/>
    </xf>
    <xf numFmtId="0" fontId="43" fillId="0" borderId="10" xfId="0" applyFont="1" applyBorder="1" applyAlignment="1">
      <alignment horizontal="left" indent="15"/>
    </xf>
    <xf numFmtId="0" fontId="0" fillId="39" borderId="47" xfId="0" applyFill="1" applyBorder="1" applyAlignment="1">
      <alignment/>
    </xf>
    <xf numFmtId="0" fontId="43" fillId="39" borderId="47" xfId="0" applyFont="1" applyFill="1" applyBorder="1" applyAlignment="1">
      <alignment horizontal="center"/>
    </xf>
    <xf numFmtId="0" fontId="0" fillId="39" borderId="48" xfId="0" applyFill="1" applyBorder="1" applyAlignment="1">
      <alignment/>
    </xf>
    <xf numFmtId="0" fontId="29" fillId="43" borderId="14" xfId="0" applyFont="1" applyFill="1" applyBorder="1" applyAlignment="1">
      <alignment horizontal="center" vertical="center"/>
    </xf>
    <xf numFmtId="14" fontId="0" fillId="36" borderId="14" xfId="0" applyNumberFormat="1" applyFill="1" applyBorder="1" applyAlignment="1">
      <alignment/>
    </xf>
    <xf numFmtId="14" fontId="0" fillId="0" borderId="21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4" xfId="0" applyFill="1" applyBorder="1" applyAlignment="1">
      <alignment/>
    </xf>
    <xf numFmtId="14" fontId="0" fillId="0" borderId="24" xfId="0" applyNumberFormat="1" applyBorder="1" applyAlignment="1">
      <alignment/>
    </xf>
    <xf numFmtId="195" fontId="5" fillId="0" borderId="52" xfId="0" applyNumberFormat="1" applyFont="1" applyBorder="1" applyAlignment="1">
      <alignment/>
    </xf>
    <xf numFmtId="14" fontId="0" fillId="0" borderId="25" xfId="0" applyNumberFormat="1" applyBorder="1" applyAlignment="1">
      <alignment/>
    </xf>
    <xf numFmtId="0" fontId="0" fillId="46" borderId="13" xfId="0" applyFill="1" applyBorder="1" applyAlignment="1">
      <alignment/>
    </xf>
    <xf numFmtId="0" fontId="0" fillId="43" borderId="0" xfId="0" applyFill="1" applyAlignment="1">
      <alignment/>
    </xf>
    <xf numFmtId="0" fontId="0" fillId="46" borderId="14" xfId="0" applyFill="1" applyBorder="1" applyAlignment="1">
      <alignment/>
    </xf>
    <xf numFmtId="198" fontId="5" fillId="0" borderId="14" xfId="0" applyNumberFormat="1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0" fillId="46" borderId="49" xfId="0" applyFill="1" applyBorder="1" applyAlignment="1">
      <alignment/>
    </xf>
    <xf numFmtId="0" fontId="5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167" fontId="0" fillId="0" borderId="41" xfId="47" applyNumberFormat="1" applyBorder="1" applyAlignment="1">
      <alignment/>
    </xf>
    <xf numFmtId="167" fontId="0" fillId="36" borderId="0" xfId="0" applyNumberFormat="1" applyFill="1" applyBorder="1" applyAlignment="1">
      <alignment horizontal="center" vertical="center"/>
    </xf>
    <xf numFmtId="0" fontId="6" fillId="47" borderId="53" xfId="0" applyFont="1" applyFill="1" applyBorder="1" applyAlignment="1">
      <alignment horizontal="center" vertical="center"/>
    </xf>
    <xf numFmtId="0" fontId="0" fillId="47" borderId="54" xfId="0" applyFill="1" applyBorder="1" applyAlignment="1">
      <alignment/>
    </xf>
    <xf numFmtId="0" fontId="6" fillId="47" borderId="55" xfId="0" applyFont="1" applyFill="1" applyBorder="1" applyAlignment="1">
      <alignment horizontal="center" vertical="center" wrapText="1"/>
    </xf>
    <xf numFmtId="167" fontId="0" fillId="36" borderId="56" xfId="0" applyNumberFormat="1" applyFill="1" applyBorder="1" applyAlignment="1">
      <alignment horizontal="center" vertical="center"/>
    </xf>
    <xf numFmtId="0" fontId="0" fillId="36" borderId="41" xfId="0" applyFill="1" applyBorder="1" applyAlignment="1">
      <alignment/>
    </xf>
    <xf numFmtId="165" fontId="5" fillId="36" borderId="41" xfId="0" applyNumberFormat="1" applyFont="1" applyFill="1" applyBorder="1" applyAlignment="1">
      <alignment/>
    </xf>
    <xf numFmtId="0" fontId="34" fillId="0" borderId="57" xfId="0" applyFont="1" applyBorder="1" applyAlignment="1">
      <alignment horizontal="right" vertical="center" indent="1"/>
    </xf>
    <xf numFmtId="0" fontId="0" fillId="39" borderId="14" xfId="0" applyFont="1" applyFill="1" applyBorder="1" applyAlignment="1">
      <alignment vertical="center"/>
    </xf>
    <xf numFmtId="167" fontId="0" fillId="37" borderId="0" xfId="0" applyNumberFormat="1" applyFill="1" applyBorder="1" applyAlignment="1">
      <alignment vertical="center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167" fontId="0" fillId="37" borderId="0" xfId="0" applyNumberFormat="1" applyFill="1" applyBorder="1" applyAlignment="1">
      <alignment horizontal="center" vertical="center"/>
    </xf>
    <xf numFmtId="0" fontId="45" fillId="41" borderId="14" xfId="0" applyFont="1" applyFill="1" applyBorder="1" applyAlignment="1">
      <alignment/>
    </xf>
    <xf numFmtId="0" fontId="5" fillId="35" borderId="45" xfId="0" applyFont="1" applyFill="1" applyBorder="1" applyAlignment="1">
      <alignment horizontal="center"/>
    </xf>
    <xf numFmtId="0" fontId="4" fillId="41" borderId="5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41" borderId="38" xfId="0" applyFont="1" applyFill="1" applyBorder="1" applyAlignment="1">
      <alignment/>
    </xf>
    <xf numFmtId="0" fontId="0" fillId="34" borderId="38" xfId="0" applyFill="1" applyBorder="1" applyAlignment="1">
      <alignment/>
    </xf>
    <xf numFmtId="0" fontId="5" fillId="34" borderId="52" xfId="0" applyFont="1" applyFill="1" applyBorder="1" applyAlignment="1">
      <alignment/>
    </xf>
    <xf numFmtId="0" fontId="4" fillId="41" borderId="58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8" xfId="0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59" xfId="0" applyFont="1" applyBorder="1" applyAlignment="1">
      <alignment/>
    </xf>
    <xf numFmtId="200" fontId="5" fillId="0" borderId="21" xfId="0" applyNumberFormat="1" applyFont="1" applyBorder="1" applyAlignment="1">
      <alignment horizontal="right" indent="1"/>
    </xf>
    <xf numFmtId="200" fontId="5" fillId="0" borderId="60" xfId="0" applyNumberFormat="1" applyFont="1" applyBorder="1" applyAlignment="1">
      <alignment horizontal="right" indent="1"/>
    </xf>
    <xf numFmtId="200" fontId="5" fillId="0" borderId="61" xfId="0" applyNumberFormat="1" applyFont="1" applyBorder="1" applyAlignment="1">
      <alignment horizontal="right" indent="1"/>
    </xf>
    <xf numFmtId="200" fontId="5" fillId="0" borderId="62" xfId="0" applyNumberFormat="1" applyFont="1" applyBorder="1" applyAlignment="1">
      <alignment horizontal="right" indent="1"/>
    </xf>
    <xf numFmtId="3" fontId="5" fillId="0" borderId="0" xfId="0" applyNumberFormat="1" applyFont="1" applyFill="1" applyAlignment="1">
      <alignment horizontal="right"/>
    </xf>
    <xf numFmtId="196" fontId="5" fillId="0" borderId="0" xfId="0" applyNumberFormat="1" applyFont="1" applyAlignment="1">
      <alignment/>
    </xf>
    <xf numFmtId="0" fontId="0" fillId="44" borderId="0" xfId="0" applyFill="1" applyAlignment="1">
      <alignment/>
    </xf>
    <xf numFmtId="0" fontId="0" fillId="44" borderId="0" xfId="0" applyFont="1" applyFill="1" applyAlignment="1">
      <alignment/>
    </xf>
    <xf numFmtId="196" fontId="5" fillId="44" borderId="0" xfId="0" applyNumberFormat="1" applyFont="1" applyFill="1" applyAlignment="1">
      <alignment/>
    </xf>
    <xf numFmtId="0" fontId="5" fillId="37" borderId="14" xfId="0" applyFont="1" applyFill="1" applyBorder="1" applyAlignment="1">
      <alignment/>
    </xf>
    <xf numFmtId="196" fontId="5" fillId="37" borderId="14" xfId="0" applyNumberFormat="1" applyFont="1" applyFill="1" applyBorder="1" applyAlignment="1">
      <alignment/>
    </xf>
    <xf numFmtId="0" fontId="0" fillId="48" borderId="14" xfId="0" applyFill="1" applyBorder="1" applyAlignment="1">
      <alignment/>
    </xf>
    <xf numFmtId="0" fontId="0" fillId="48" borderId="20" xfId="0" applyFill="1" applyBorder="1" applyAlignment="1">
      <alignment/>
    </xf>
    <xf numFmtId="170" fontId="0" fillId="48" borderId="20" xfId="47" applyFont="1" applyFill="1" applyBorder="1" applyAlignment="1">
      <alignment/>
    </xf>
    <xf numFmtId="0" fontId="0" fillId="48" borderId="63" xfId="0" applyFill="1" applyBorder="1" applyAlignment="1">
      <alignment/>
    </xf>
    <xf numFmtId="170" fontId="0" fillId="48" borderId="64" xfId="47" applyFont="1" applyFill="1" applyBorder="1" applyAlignment="1">
      <alignment/>
    </xf>
    <xf numFmtId="0" fontId="0" fillId="48" borderId="44" xfId="0" applyFill="1" applyBorder="1" applyAlignment="1">
      <alignment/>
    </xf>
    <xf numFmtId="170" fontId="0" fillId="48" borderId="19" xfId="47" applyFont="1" applyFill="1" applyBorder="1" applyAlignment="1">
      <alignment/>
    </xf>
    <xf numFmtId="0" fontId="5" fillId="48" borderId="14" xfId="0" applyFont="1" applyFill="1" applyBorder="1" applyAlignment="1">
      <alignment/>
    </xf>
    <xf numFmtId="0" fontId="0" fillId="48" borderId="30" xfId="0" applyFill="1" applyBorder="1" applyAlignment="1">
      <alignment/>
    </xf>
    <xf numFmtId="0" fontId="0" fillId="48" borderId="65" xfId="0" applyFill="1" applyBorder="1" applyAlignment="1">
      <alignment/>
    </xf>
    <xf numFmtId="0" fontId="0" fillId="49" borderId="14" xfId="0" applyFill="1" applyBorder="1" applyAlignment="1">
      <alignment/>
    </xf>
    <xf numFmtId="0" fontId="5" fillId="37" borderId="0" xfId="0" applyFont="1" applyFill="1" applyAlignment="1">
      <alignment/>
    </xf>
    <xf numFmtId="167" fontId="6" fillId="49" borderId="14" xfId="0" applyNumberFormat="1" applyFont="1" applyFill="1" applyBorder="1" applyAlignment="1">
      <alignment/>
    </xf>
    <xf numFmtId="0" fontId="0" fillId="48" borderId="66" xfId="0" applyFill="1" applyBorder="1" applyAlignment="1">
      <alignment/>
    </xf>
    <xf numFmtId="170" fontId="0" fillId="48" borderId="67" xfId="47" applyFont="1" applyFill="1" applyBorder="1" applyAlignment="1">
      <alignment/>
    </xf>
    <xf numFmtId="0" fontId="0" fillId="34" borderId="38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52" xfId="0" applyFont="1" applyFill="1" applyBorder="1" applyAlignment="1">
      <alignment horizontal="left"/>
    </xf>
    <xf numFmtId="0" fontId="0" fillId="34" borderId="50" xfId="0" applyFill="1" applyBorder="1" applyAlignment="1">
      <alignment horizontal="left"/>
    </xf>
    <xf numFmtId="0" fontId="0" fillId="34" borderId="51" xfId="0" applyFill="1" applyBorder="1" applyAlignment="1">
      <alignment horizontal="left"/>
    </xf>
    <xf numFmtId="0" fontId="6" fillId="41" borderId="58" xfId="0" applyFont="1" applyFill="1" applyBorder="1" applyAlignment="1">
      <alignment horizontal="left"/>
    </xf>
    <xf numFmtId="0" fontId="6" fillId="41" borderId="68" xfId="0" applyFont="1" applyFill="1" applyBorder="1" applyAlignment="1">
      <alignment horizontal="left"/>
    </xf>
    <xf numFmtId="0" fontId="6" fillId="41" borderId="69" xfId="0" applyFont="1" applyFill="1" applyBorder="1" applyAlignment="1">
      <alignment horizontal="left"/>
    </xf>
    <xf numFmtId="182" fontId="6" fillId="34" borderId="38" xfId="0" applyNumberFormat="1" applyFont="1" applyFill="1" applyBorder="1" applyAlignment="1">
      <alignment horizontal="center"/>
    </xf>
    <xf numFmtId="182" fontId="6" fillId="34" borderId="12" xfId="0" applyNumberFormat="1" applyFont="1" applyFill="1" applyBorder="1" applyAlignment="1">
      <alignment horizontal="center"/>
    </xf>
    <xf numFmtId="182" fontId="6" fillId="34" borderId="13" xfId="0" applyNumberFormat="1" applyFont="1" applyFill="1" applyBorder="1" applyAlignment="1">
      <alignment horizontal="center"/>
    </xf>
    <xf numFmtId="0" fontId="0" fillId="34" borderId="38" xfId="0" applyFont="1" applyFill="1" applyBorder="1" applyAlignment="1">
      <alignment horizontal="left"/>
    </xf>
    <xf numFmtId="0" fontId="0" fillId="34" borderId="58" xfId="0" applyFill="1" applyBorder="1" applyAlignment="1">
      <alignment horizontal="left"/>
    </xf>
    <xf numFmtId="0" fontId="0" fillId="34" borderId="68" xfId="0" applyFill="1" applyBorder="1" applyAlignment="1">
      <alignment horizontal="left"/>
    </xf>
    <xf numFmtId="0" fontId="0" fillId="34" borderId="69" xfId="0" applyFill="1" applyBorder="1" applyAlignment="1">
      <alignment horizontal="left"/>
    </xf>
    <xf numFmtId="0" fontId="0" fillId="34" borderId="52" xfId="0" applyFill="1" applyBorder="1" applyAlignment="1">
      <alignment horizontal="left"/>
    </xf>
    <xf numFmtId="0" fontId="6" fillId="42" borderId="70" xfId="0" applyFont="1" applyFill="1" applyBorder="1" applyAlignment="1">
      <alignment horizontal="center" textRotation="90"/>
    </xf>
    <xf numFmtId="0" fontId="6" fillId="42" borderId="71" xfId="0" applyFont="1" applyFill="1" applyBorder="1" applyAlignment="1">
      <alignment horizontal="center" textRotation="90"/>
    </xf>
    <xf numFmtId="0" fontId="6" fillId="42" borderId="72" xfId="0" applyFont="1" applyFill="1" applyBorder="1" applyAlignment="1">
      <alignment horizontal="center" textRotation="90"/>
    </xf>
    <xf numFmtId="0" fontId="6" fillId="46" borderId="70" xfId="0" applyFont="1" applyFill="1" applyBorder="1" applyAlignment="1">
      <alignment horizontal="center" textRotation="90"/>
    </xf>
    <xf numFmtId="0" fontId="6" fillId="46" borderId="71" xfId="0" applyFont="1" applyFill="1" applyBorder="1" applyAlignment="1">
      <alignment horizontal="center" textRotation="90"/>
    </xf>
    <xf numFmtId="0" fontId="6" fillId="46" borderId="72" xfId="0" applyFont="1" applyFill="1" applyBorder="1" applyAlignment="1">
      <alignment horizontal="center" textRotation="90"/>
    </xf>
    <xf numFmtId="0" fontId="6" fillId="50" borderId="70" xfId="0" applyFont="1" applyFill="1" applyBorder="1" applyAlignment="1">
      <alignment horizontal="center" textRotation="90"/>
    </xf>
    <xf numFmtId="0" fontId="6" fillId="50" borderId="71" xfId="0" applyFont="1" applyFill="1" applyBorder="1" applyAlignment="1">
      <alignment horizontal="center" textRotation="90"/>
    </xf>
    <xf numFmtId="0" fontId="6" fillId="50" borderId="72" xfId="0" applyFont="1" applyFill="1" applyBorder="1" applyAlignment="1">
      <alignment horizontal="center" textRotation="90"/>
    </xf>
    <xf numFmtId="0" fontId="5" fillId="42" borderId="0" xfId="0" applyFont="1" applyFill="1" applyAlignment="1">
      <alignment horizontal="right"/>
    </xf>
    <xf numFmtId="14" fontId="6" fillId="43" borderId="0" xfId="0" applyNumberFormat="1" applyFont="1" applyFill="1" applyAlignment="1">
      <alignment horizontal="left"/>
    </xf>
    <xf numFmtId="0" fontId="6" fillId="43" borderId="0" xfId="0" applyFont="1" applyFill="1" applyAlignment="1">
      <alignment horizontal="left"/>
    </xf>
    <xf numFmtId="0" fontId="6" fillId="41" borderId="38" xfId="0" applyFont="1" applyFill="1" applyBorder="1" applyAlignment="1">
      <alignment horizontal="left"/>
    </xf>
    <xf numFmtId="0" fontId="6" fillId="41" borderId="12" xfId="0" applyFont="1" applyFill="1" applyBorder="1" applyAlignment="1">
      <alignment horizontal="left"/>
    </xf>
    <xf numFmtId="0" fontId="6" fillId="41" borderId="13" xfId="0" applyFont="1" applyFill="1" applyBorder="1" applyAlignment="1">
      <alignment horizontal="left"/>
    </xf>
    <xf numFmtId="0" fontId="5" fillId="35" borderId="45" xfId="0" applyFont="1" applyFill="1" applyBorder="1" applyAlignment="1">
      <alignment horizontal="left"/>
    </xf>
    <xf numFmtId="0" fontId="5" fillId="35" borderId="73" xfId="0" applyFont="1" applyFill="1" applyBorder="1" applyAlignment="1">
      <alignment horizontal="left"/>
    </xf>
    <xf numFmtId="0" fontId="5" fillId="35" borderId="74" xfId="0" applyFont="1" applyFill="1" applyBorder="1" applyAlignment="1">
      <alignment horizontal="left"/>
    </xf>
    <xf numFmtId="0" fontId="4" fillId="43" borderId="44" xfId="0" applyFont="1" applyFill="1" applyBorder="1" applyAlignment="1">
      <alignment horizontal="left"/>
    </xf>
    <xf numFmtId="0" fontId="4" fillId="43" borderId="19" xfId="0" applyFont="1" applyFill="1" applyBorder="1" applyAlignment="1">
      <alignment horizontal="left"/>
    </xf>
    <xf numFmtId="182" fontId="6" fillId="34" borderId="14" xfId="0" applyNumberFormat="1" applyFont="1" applyFill="1" applyBorder="1" applyAlignment="1">
      <alignment horizontal="center"/>
    </xf>
    <xf numFmtId="0" fontId="19" fillId="34" borderId="14" xfId="0" applyFont="1" applyFill="1" applyBorder="1" applyAlignment="1">
      <alignment horizontal="left"/>
    </xf>
    <xf numFmtId="0" fontId="6" fillId="43" borderId="14" xfId="0" applyFont="1" applyFill="1" applyBorder="1" applyAlignment="1">
      <alignment horizontal="center"/>
    </xf>
    <xf numFmtId="0" fontId="0" fillId="45" borderId="75" xfId="0" applyFill="1" applyBorder="1" applyAlignment="1">
      <alignment horizontal="center"/>
    </xf>
    <xf numFmtId="0" fontId="0" fillId="45" borderId="73" xfId="0" applyFill="1" applyBorder="1" applyAlignment="1">
      <alignment horizontal="center"/>
    </xf>
    <xf numFmtId="0" fontId="0" fillId="45" borderId="74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76" xfId="0" applyFont="1" applyBorder="1" applyAlignment="1">
      <alignment horizontal="left"/>
    </xf>
    <xf numFmtId="0" fontId="0" fillId="0" borderId="76" xfId="0" applyBorder="1" applyAlignment="1">
      <alignment horizontal="left"/>
    </xf>
    <xf numFmtId="0" fontId="39" fillId="0" borderId="42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70" fontId="0" fillId="0" borderId="0" xfId="0" applyNumberFormat="1" applyBorder="1" applyAlignment="1">
      <alignment horizontal="right"/>
    </xf>
    <xf numFmtId="170" fontId="0" fillId="0" borderId="41" xfId="0" applyNumberFormat="1" applyBorder="1" applyAlignment="1">
      <alignment horizontal="right"/>
    </xf>
    <xf numFmtId="170" fontId="0" fillId="0" borderId="68" xfId="0" applyNumberFormat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Alignment="1">
      <alignment horizontal="left"/>
    </xf>
    <xf numFmtId="0" fontId="38" fillId="48" borderId="38" xfId="0" applyFont="1" applyFill="1" applyBorder="1" applyAlignment="1">
      <alignment horizontal="right"/>
    </xf>
    <xf numFmtId="0" fontId="38" fillId="48" borderId="12" xfId="0" applyFont="1" applyFill="1" applyBorder="1" applyAlignment="1">
      <alignment horizontal="right"/>
    </xf>
    <xf numFmtId="0" fontId="38" fillId="48" borderId="1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41" fillId="0" borderId="42" xfId="0" applyFont="1" applyBorder="1" applyAlignment="1">
      <alignment horizontal="left"/>
    </xf>
    <xf numFmtId="170" fontId="36" fillId="0" borderId="0" xfId="47" applyFont="1" applyAlignment="1">
      <alignment horizontal="right"/>
    </xf>
    <xf numFmtId="0" fontId="42" fillId="48" borderId="66" xfId="0" applyFont="1" applyFill="1" applyBorder="1" applyAlignment="1">
      <alignment horizontal="center" vertical="center"/>
    </xf>
    <xf numFmtId="0" fontId="42" fillId="48" borderId="76" xfId="0" applyFont="1" applyFill="1" applyBorder="1" applyAlignment="1">
      <alignment horizontal="center" vertical="center"/>
    </xf>
    <xf numFmtId="0" fontId="42" fillId="48" borderId="67" xfId="0" applyFont="1" applyFill="1" applyBorder="1" applyAlignment="1">
      <alignment horizontal="center" vertical="center"/>
    </xf>
    <xf numFmtId="0" fontId="42" fillId="48" borderId="44" xfId="0" applyFont="1" applyFill="1" applyBorder="1" applyAlignment="1">
      <alignment horizontal="center" vertical="center"/>
    </xf>
    <xf numFmtId="0" fontId="42" fillId="48" borderId="18" xfId="0" applyFont="1" applyFill="1" applyBorder="1" applyAlignment="1">
      <alignment horizontal="center" vertical="center"/>
    </xf>
    <xf numFmtId="0" fontId="42" fillId="48" borderId="19" xfId="0" applyFont="1" applyFill="1" applyBorder="1" applyAlignment="1">
      <alignment horizontal="center" vertical="center"/>
    </xf>
    <xf numFmtId="0" fontId="42" fillId="48" borderId="63" xfId="0" applyFont="1" applyFill="1" applyBorder="1" applyAlignment="1">
      <alignment horizontal="center" vertical="center"/>
    </xf>
    <xf numFmtId="0" fontId="42" fillId="48" borderId="0" xfId="0" applyFont="1" applyFill="1" applyBorder="1" applyAlignment="1">
      <alignment horizontal="center" vertical="center"/>
    </xf>
    <xf numFmtId="0" fontId="42" fillId="48" borderId="64" xfId="0" applyFont="1" applyFill="1" applyBorder="1" applyAlignment="1">
      <alignment horizontal="center" vertical="center"/>
    </xf>
    <xf numFmtId="0" fontId="35" fillId="48" borderId="66" xfId="0" applyFont="1" applyFill="1" applyBorder="1" applyAlignment="1">
      <alignment horizontal="center"/>
    </xf>
    <xf numFmtId="0" fontId="35" fillId="48" borderId="76" xfId="0" applyFont="1" applyFill="1" applyBorder="1" applyAlignment="1">
      <alignment horizontal="center"/>
    </xf>
    <xf numFmtId="0" fontId="35" fillId="48" borderId="67" xfId="0" applyFont="1" applyFill="1" applyBorder="1" applyAlignment="1">
      <alignment horizontal="center"/>
    </xf>
    <xf numFmtId="0" fontId="35" fillId="48" borderId="44" xfId="0" applyFont="1" applyFill="1" applyBorder="1" applyAlignment="1">
      <alignment horizontal="center"/>
    </xf>
    <xf numFmtId="0" fontId="35" fillId="48" borderId="18" xfId="0" applyFont="1" applyFill="1" applyBorder="1" applyAlignment="1">
      <alignment horizontal="center"/>
    </xf>
    <xf numFmtId="0" fontId="35" fillId="48" borderId="19" xfId="0" applyFont="1" applyFill="1" applyBorder="1" applyAlignment="1">
      <alignment horizontal="center"/>
    </xf>
    <xf numFmtId="0" fontId="39" fillId="48" borderId="75" xfId="0" applyFont="1" applyFill="1" applyBorder="1" applyAlignment="1">
      <alignment/>
    </xf>
    <xf numFmtId="0" fontId="39" fillId="48" borderId="73" xfId="0" applyFont="1" applyFill="1" applyBorder="1" applyAlignment="1">
      <alignment/>
    </xf>
    <xf numFmtId="0" fontId="39" fillId="48" borderId="77" xfId="0" applyFont="1" applyFill="1" applyBorder="1" applyAlignment="1">
      <alignment/>
    </xf>
    <xf numFmtId="0" fontId="0" fillId="48" borderId="38" xfId="0" applyFill="1" applyBorder="1" applyAlignment="1">
      <alignment horizontal="center"/>
    </xf>
    <xf numFmtId="0" fontId="0" fillId="48" borderId="12" xfId="0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0" fontId="6" fillId="38" borderId="33" xfId="0" applyFont="1" applyFill="1" applyBorder="1" applyAlignment="1">
      <alignment horizontal="left" wrapText="1" indent="1"/>
    </xf>
    <xf numFmtId="0" fontId="0" fillId="0" borderId="0" xfId="0" applyFont="1" applyBorder="1" applyAlignment="1">
      <alignment horizontal="left" indent="1"/>
    </xf>
    <xf numFmtId="0" fontId="0" fillId="0" borderId="34" xfId="0" applyFont="1" applyBorder="1" applyAlignment="1">
      <alignment horizontal="left" indent="1"/>
    </xf>
    <xf numFmtId="0" fontId="0" fillId="0" borderId="33" xfId="0" applyFont="1" applyBorder="1" applyAlignment="1">
      <alignment horizontal="left" indent="1"/>
    </xf>
    <xf numFmtId="0" fontId="33" fillId="38" borderId="33" xfId="0" applyFont="1" applyFill="1" applyBorder="1" applyAlignment="1">
      <alignment horizontal="center"/>
    </xf>
    <xf numFmtId="0" fontId="33" fillId="38" borderId="0" xfId="0" applyFont="1" applyFill="1" applyBorder="1" applyAlignment="1">
      <alignment horizontal="center"/>
    </xf>
    <xf numFmtId="0" fontId="33" fillId="38" borderId="34" xfId="0" applyFont="1" applyFill="1" applyBorder="1" applyAlignment="1">
      <alignment horizontal="center"/>
    </xf>
    <xf numFmtId="0" fontId="11" fillId="38" borderId="33" xfId="0" applyFont="1" applyFill="1" applyBorder="1" applyAlignment="1">
      <alignment horizontal="right" wrapText="1" indent="2"/>
    </xf>
    <xf numFmtId="0" fontId="11" fillId="38" borderId="0" xfId="0" applyFont="1" applyFill="1" applyBorder="1" applyAlignment="1">
      <alignment horizontal="right" wrapText="1" indent="2"/>
    </xf>
    <xf numFmtId="0" fontId="11" fillId="38" borderId="34" xfId="0" applyFont="1" applyFill="1" applyBorder="1" applyAlignment="1">
      <alignment horizontal="right" wrapText="1" indent="2"/>
    </xf>
    <xf numFmtId="0" fontId="16" fillId="0" borderId="33" xfId="0" applyFont="1" applyBorder="1" applyAlignment="1">
      <alignment horizontal="right" wrapText="1" indent="5"/>
    </xf>
    <xf numFmtId="0" fontId="16" fillId="0" borderId="0" xfId="0" applyFont="1" applyBorder="1" applyAlignment="1">
      <alignment horizontal="right" wrapText="1" indent="5"/>
    </xf>
    <xf numFmtId="0" fontId="16" fillId="0" borderId="34" xfId="0" applyFont="1" applyBorder="1" applyAlignment="1">
      <alignment horizontal="right" wrapText="1" indent="5"/>
    </xf>
    <xf numFmtId="0" fontId="16" fillId="38" borderId="33" xfId="0" applyFont="1" applyFill="1" applyBorder="1" applyAlignment="1">
      <alignment horizontal="center" wrapText="1"/>
    </xf>
    <xf numFmtId="0" fontId="16" fillId="38" borderId="0" xfId="0" applyFont="1" applyFill="1" applyBorder="1" applyAlignment="1">
      <alignment horizontal="center" wrapText="1"/>
    </xf>
    <xf numFmtId="0" fontId="16" fillId="38" borderId="34" xfId="0" applyFont="1" applyFill="1" applyBorder="1" applyAlignment="1">
      <alignment horizontal="center" wrapText="1"/>
    </xf>
    <xf numFmtId="0" fontId="19" fillId="38" borderId="33" xfId="0" applyFont="1" applyFill="1" applyBorder="1" applyAlignment="1">
      <alignment horizontal="center"/>
    </xf>
    <xf numFmtId="0" fontId="19" fillId="38" borderId="0" xfId="0" applyFont="1" applyFill="1" applyBorder="1" applyAlignment="1">
      <alignment horizontal="center"/>
    </xf>
    <xf numFmtId="0" fontId="19" fillId="38" borderId="34" xfId="0" applyFont="1" applyFill="1" applyBorder="1" applyAlignment="1">
      <alignment horizontal="center"/>
    </xf>
    <xf numFmtId="0" fontId="32" fillId="38" borderId="33" xfId="0" applyFont="1" applyFill="1" applyBorder="1" applyAlignment="1">
      <alignment horizontal="center"/>
    </xf>
    <xf numFmtId="0" fontId="32" fillId="38" borderId="0" xfId="0" applyFont="1" applyFill="1" applyBorder="1" applyAlignment="1">
      <alignment horizontal="center"/>
    </xf>
    <xf numFmtId="0" fontId="32" fillId="38" borderId="34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0" fillId="38" borderId="36" xfId="0" applyFont="1" applyFill="1" applyBorder="1" applyAlignment="1">
      <alignment horizontal="center" vertical="center" wrapText="1"/>
    </xf>
    <xf numFmtId="0" fontId="10" fillId="38" borderId="81" xfId="0" applyFont="1" applyFill="1" applyBorder="1" applyAlignment="1">
      <alignment horizontal="center" vertical="center" wrapText="1"/>
    </xf>
    <xf numFmtId="0" fontId="10" fillId="38" borderId="82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34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1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right" wrapText="1" indent="4"/>
    </xf>
    <xf numFmtId="0" fontId="14" fillId="38" borderId="33" xfId="0" applyFont="1" applyFill="1" applyBorder="1" applyAlignment="1">
      <alignment horizontal="center" wrapText="1" shrinkToFit="1"/>
    </xf>
    <xf numFmtId="0" fontId="14" fillId="38" borderId="0" xfId="0" applyFont="1" applyFill="1" applyBorder="1" applyAlignment="1">
      <alignment horizontal="center" wrapText="1" shrinkToFit="1"/>
    </xf>
    <xf numFmtId="0" fontId="14" fillId="38" borderId="34" xfId="0" applyFont="1" applyFill="1" applyBorder="1" applyAlignment="1">
      <alignment horizontal="center" wrapText="1" shrinkToFit="1"/>
    </xf>
    <xf numFmtId="0" fontId="14" fillId="38" borderId="33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14" fillId="38" borderId="34" xfId="0" applyFont="1" applyFill="1" applyBorder="1" applyAlignment="1">
      <alignment horizontal="center"/>
    </xf>
    <xf numFmtId="0" fontId="14" fillId="43" borderId="33" xfId="0" applyFont="1" applyFill="1" applyBorder="1" applyAlignment="1">
      <alignment horizontal="center" wrapText="1" shrinkToFit="1"/>
    </xf>
    <xf numFmtId="0" fontId="14" fillId="43" borderId="0" xfId="0" applyFont="1" applyFill="1" applyBorder="1" applyAlignment="1">
      <alignment horizontal="center" wrapText="1" shrinkToFit="1"/>
    </xf>
    <xf numFmtId="0" fontId="14" fillId="43" borderId="34" xfId="0" applyFont="1" applyFill="1" applyBorder="1" applyAlignment="1">
      <alignment horizontal="center" wrapText="1" shrinkToFit="1"/>
    </xf>
    <xf numFmtId="0" fontId="18" fillId="38" borderId="33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/>
    </xf>
    <xf numFmtId="0" fontId="18" fillId="38" borderId="34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17" fillId="38" borderId="33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7" fillId="38" borderId="34" xfId="0" applyFont="1" applyFill="1" applyBorder="1" applyAlignment="1">
      <alignment horizontal="center"/>
    </xf>
    <xf numFmtId="0" fontId="10" fillId="0" borderId="8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" fillId="39" borderId="86" xfId="0" applyFont="1" applyFill="1" applyBorder="1" applyAlignment="1">
      <alignment horizontal="center" textRotation="90" wrapText="1"/>
    </xf>
    <xf numFmtId="0" fontId="3" fillId="39" borderId="47" xfId="0" applyFont="1" applyFill="1" applyBorder="1" applyAlignment="1">
      <alignment horizontal="center" textRotation="90" wrapText="1"/>
    </xf>
    <xf numFmtId="0" fontId="28" fillId="38" borderId="87" xfId="0" applyFont="1" applyFill="1" applyBorder="1" applyAlignment="1">
      <alignment horizontal="center" vertical="center"/>
    </xf>
    <xf numFmtId="0" fontId="28" fillId="38" borderId="88" xfId="0" applyFont="1" applyFill="1" applyBorder="1" applyAlignment="1">
      <alignment horizontal="center" vertical="center"/>
    </xf>
    <xf numFmtId="0" fontId="28" fillId="38" borderId="89" xfId="0" applyFont="1" applyFill="1" applyBorder="1" applyAlignment="1">
      <alignment horizontal="center" vertical="center"/>
    </xf>
    <xf numFmtId="167" fontId="28" fillId="48" borderId="90" xfId="0" applyNumberFormat="1" applyFont="1" applyFill="1" applyBorder="1" applyAlignment="1">
      <alignment horizontal="center" vertical="center"/>
    </xf>
    <xf numFmtId="167" fontId="28" fillId="48" borderId="88" xfId="0" applyNumberFormat="1" applyFont="1" applyFill="1" applyBorder="1" applyAlignment="1">
      <alignment horizontal="center" vertical="center"/>
    </xf>
    <xf numFmtId="167" fontId="28" fillId="48" borderId="89" xfId="0" applyNumberFormat="1" applyFont="1" applyFill="1" applyBorder="1" applyAlignment="1">
      <alignment horizontal="center" vertical="center"/>
    </xf>
    <xf numFmtId="0" fontId="29" fillId="48" borderId="90" xfId="0" applyFont="1" applyFill="1" applyBorder="1" applyAlignment="1">
      <alignment horizontal="center" vertical="center"/>
    </xf>
    <xf numFmtId="0" fontId="29" fillId="48" borderId="88" xfId="0" applyFont="1" applyFill="1" applyBorder="1" applyAlignment="1">
      <alignment horizontal="center" vertical="center"/>
    </xf>
    <xf numFmtId="0" fontId="29" fillId="48" borderId="91" xfId="0" applyFont="1" applyFill="1" applyBorder="1" applyAlignment="1">
      <alignment horizontal="center" vertical="center"/>
    </xf>
    <xf numFmtId="0" fontId="28" fillId="38" borderId="90" xfId="0" applyFont="1" applyFill="1" applyBorder="1" applyAlignment="1">
      <alignment horizontal="center" vertical="center"/>
    </xf>
    <xf numFmtId="0" fontId="3" fillId="39" borderId="92" xfId="0" applyFont="1" applyFill="1" applyBorder="1" applyAlignment="1">
      <alignment horizontal="center" textRotation="90" wrapText="1"/>
    </xf>
    <xf numFmtId="0" fontId="6" fillId="39" borderId="14" xfId="0" applyFont="1" applyFill="1" applyBorder="1" applyAlignment="1">
      <alignment horizontal="center"/>
    </xf>
    <xf numFmtId="0" fontId="44" fillId="36" borderId="93" xfId="0" applyFont="1" applyFill="1" applyBorder="1" applyAlignment="1">
      <alignment horizontal="center"/>
    </xf>
    <xf numFmtId="0" fontId="44" fillId="36" borderId="76" xfId="0" applyFont="1" applyFill="1" applyBorder="1" applyAlignment="1">
      <alignment horizontal="center"/>
    </xf>
    <xf numFmtId="0" fontId="0" fillId="45" borderId="75" xfId="0" applyFont="1" applyFill="1" applyBorder="1" applyAlignment="1">
      <alignment horizontal="center"/>
    </xf>
    <xf numFmtId="0" fontId="0" fillId="45" borderId="77" xfId="0" applyFill="1" applyBorder="1" applyAlignment="1">
      <alignment horizontal="center"/>
    </xf>
    <xf numFmtId="0" fontId="0" fillId="45" borderId="73" xfId="0" applyFont="1" applyFill="1" applyBorder="1" applyAlignment="1">
      <alignment horizontal="center"/>
    </xf>
    <xf numFmtId="0" fontId="0" fillId="45" borderId="7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7">
    <dxf>
      <font>
        <b/>
        <i val="0"/>
        <color auto="1"/>
      </font>
      <fill>
        <patternFill>
          <bgColor indexed="42"/>
        </patternFill>
      </fill>
      <border>
        <left style="thin"/>
        <right style="thin"/>
        <top style="thin"/>
        <bottom style="dotted"/>
      </border>
    </dxf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dotted"/>
      </border>
    </dxf>
    <dxf>
      <fill>
        <patternFill>
          <bgColor indexed="10"/>
        </patternFill>
      </fill>
      <border>
        <left style="thin"/>
        <right style="thin"/>
        <top style="dotted"/>
        <bottom style="thin"/>
      </border>
    </dxf>
    <dxf>
      <font>
        <b/>
        <i val="0"/>
        <color indexed="9"/>
      </font>
      <fill>
        <patternFill>
          <bgColor indexed="57"/>
        </patternFill>
      </fill>
      <border>
        <left style="thin"/>
        <right style="thin"/>
        <top style="dotted"/>
        <bottom style="thin"/>
      </border>
    </dxf>
    <dxf>
      <font>
        <b/>
        <i val="0"/>
        <color indexed="9"/>
      </font>
      <fill>
        <patternFill>
          <bgColor indexed="57"/>
        </patternFill>
      </fill>
      <border>
        <left style="thin"/>
        <right style="thin"/>
        <top style="thin"/>
        <bottom style="dotted"/>
      </border>
    </dxf>
    <dxf>
      <font>
        <color auto="1"/>
      </font>
      <fill>
        <patternFill>
          <bgColor indexed="42"/>
        </patternFill>
      </fill>
      <border>
        <left style="thin"/>
        <right style="thin"/>
        <top style="thin"/>
        <bottom style="dotted"/>
      </border>
    </dxf>
    <dxf>
      <fill>
        <patternFill>
          <bgColor indexed="42"/>
        </patternFill>
      </fill>
      <border>
        <left style="thin"/>
        <right style="thin"/>
        <top style="thin"/>
        <bottom style="dotted"/>
      </border>
    </dxf>
    <dxf>
      <fill>
        <patternFill>
          <bgColor indexed="42"/>
        </patternFill>
      </fill>
      <border>
        <left style="thin"/>
        <right style="thin"/>
        <top style="dotted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dotted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dotted">
          <color rgb="FF000000"/>
        </bottom>
      </border>
    </dxf>
    <dxf>
      <font>
        <b/>
        <i val="0"/>
        <color rgb="FFFFFFFF"/>
      </font>
      <fill>
        <patternFill>
          <bgColor rgb="FF339966"/>
        </patternFill>
      </fill>
      <border>
        <left style="thin">
          <color rgb="FF000000"/>
        </left>
        <right style="thin">
          <color rgb="FF000000"/>
        </right>
        <top style="thin"/>
        <bottom style="dotted">
          <color rgb="FF000000"/>
        </bottom>
      </border>
    </dxf>
    <dxf>
      <font>
        <b/>
        <i val="0"/>
        <color rgb="FFFFFFFF"/>
      </font>
      <fill>
        <patternFill>
          <bgColor rgb="FF339966"/>
        </patternFill>
      </fill>
      <border>
        <left style="thin">
          <color rgb="FF000000"/>
        </left>
        <right style="thin">
          <color rgb="FF000000"/>
        </right>
        <top style="dotted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dotted"/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dotted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bmp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</xdr:row>
      <xdr:rowOff>9525</xdr:rowOff>
    </xdr:from>
    <xdr:to>
      <xdr:col>10</xdr:col>
      <xdr:colOff>0</xdr:colOff>
      <xdr:row>12</xdr:row>
      <xdr:rowOff>38100</xdr:rowOff>
    </xdr:to>
    <xdr:pic>
      <xdr:nvPicPr>
        <xdr:cNvPr id="1" name="Picture 2" descr="festajunin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71450"/>
          <a:ext cx="12954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12</xdr:row>
      <xdr:rowOff>142875</xdr:rowOff>
    </xdr:from>
    <xdr:to>
      <xdr:col>4</xdr:col>
      <xdr:colOff>542925</xdr:colOff>
      <xdr:row>20</xdr:row>
      <xdr:rowOff>85725</xdr:rowOff>
    </xdr:to>
    <xdr:pic>
      <xdr:nvPicPr>
        <xdr:cNvPr id="1" name="Picture 1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181225"/>
          <a:ext cx="1123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12</xdr:row>
      <xdr:rowOff>85725</xdr:rowOff>
    </xdr:from>
    <xdr:to>
      <xdr:col>9</xdr:col>
      <xdr:colOff>552450</xdr:colOff>
      <xdr:row>20</xdr:row>
      <xdr:rowOff>28575</xdr:rowOff>
    </xdr:to>
    <xdr:pic>
      <xdr:nvPicPr>
        <xdr:cNvPr id="2" name="Picture 2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124075"/>
          <a:ext cx="1123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45</xdr:row>
      <xdr:rowOff>19050</xdr:rowOff>
    </xdr:from>
    <xdr:to>
      <xdr:col>4</xdr:col>
      <xdr:colOff>590550</xdr:colOff>
      <xdr:row>52</xdr:row>
      <xdr:rowOff>28575</xdr:rowOff>
    </xdr:to>
    <xdr:pic>
      <xdr:nvPicPr>
        <xdr:cNvPr id="3" name="Picture 3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572375"/>
          <a:ext cx="1123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45</xdr:row>
      <xdr:rowOff>38100</xdr:rowOff>
    </xdr:from>
    <xdr:to>
      <xdr:col>9</xdr:col>
      <xdr:colOff>600075</xdr:colOff>
      <xdr:row>52</xdr:row>
      <xdr:rowOff>47625</xdr:rowOff>
    </xdr:to>
    <xdr:pic>
      <xdr:nvPicPr>
        <xdr:cNvPr id="4" name="Picture 4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591425"/>
          <a:ext cx="1123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12</xdr:row>
      <xdr:rowOff>9525</xdr:rowOff>
    </xdr:from>
    <xdr:to>
      <xdr:col>2</xdr:col>
      <xdr:colOff>95250</xdr:colOff>
      <xdr:row>21</xdr:row>
      <xdr:rowOff>123825</xdr:rowOff>
    </xdr:to>
    <xdr:pic>
      <xdr:nvPicPr>
        <xdr:cNvPr id="5" name="Picture 9" descr="festa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47875"/>
          <a:ext cx="1038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12</xdr:row>
      <xdr:rowOff>19050</xdr:rowOff>
    </xdr:from>
    <xdr:to>
      <xdr:col>7</xdr:col>
      <xdr:colOff>114300</xdr:colOff>
      <xdr:row>21</xdr:row>
      <xdr:rowOff>133350</xdr:rowOff>
    </xdr:to>
    <xdr:pic>
      <xdr:nvPicPr>
        <xdr:cNvPr id="6" name="Picture 10" descr="festa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2057400"/>
          <a:ext cx="1038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44</xdr:row>
      <xdr:rowOff>28575</xdr:rowOff>
    </xdr:from>
    <xdr:to>
      <xdr:col>2</xdr:col>
      <xdr:colOff>57150</xdr:colOff>
      <xdr:row>53</xdr:row>
      <xdr:rowOff>28575</xdr:rowOff>
    </xdr:to>
    <xdr:pic>
      <xdr:nvPicPr>
        <xdr:cNvPr id="7" name="Picture 11" descr="festa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419975"/>
          <a:ext cx="1038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44</xdr:row>
      <xdr:rowOff>38100</xdr:rowOff>
    </xdr:from>
    <xdr:to>
      <xdr:col>7</xdr:col>
      <xdr:colOff>76200</xdr:colOff>
      <xdr:row>53</xdr:row>
      <xdr:rowOff>38100</xdr:rowOff>
    </xdr:to>
    <xdr:pic>
      <xdr:nvPicPr>
        <xdr:cNvPr id="8" name="Picture 12" descr="festa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7429500"/>
          <a:ext cx="1038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10</xdr:row>
      <xdr:rowOff>133350</xdr:rowOff>
    </xdr:from>
    <xdr:to>
      <xdr:col>4</xdr:col>
      <xdr:colOff>590550</xdr:colOff>
      <xdr:row>20</xdr:row>
      <xdr:rowOff>133350</xdr:rowOff>
    </xdr:to>
    <xdr:pic>
      <xdr:nvPicPr>
        <xdr:cNvPr id="1" name="Picture 1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181225"/>
          <a:ext cx="14668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</xdr:row>
      <xdr:rowOff>9525</xdr:rowOff>
    </xdr:from>
    <xdr:to>
      <xdr:col>1</xdr:col>
      <xdr:colOff>533400</xdr:colOff>
      <xdr:row>20</xdr:row>
      <xdr:rowOff>114300</xdr:rowOff>
    </xdr:to>
    <xdr:pic>
      <xdr:nvPicPr>
        <xdr:cNvPr id="2" name="Picture 9" descr="festa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219325"/>
          <a:ext cx="10287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76200</xdr:rowOff>
    </xdr:from>
    <xdr:to>
      <xdr:col>6</xdr:col>
      <xdr:colOff>66675</xdr:colOff>
      <xdr:row>4</xdr:row>
      <xdr:rowOff>133350</xdr:rowOff>
    </xdr:to>
    <xdr:pic>
      <xdr:nvPicPr>
        <xdr:cNvPr id="1" name="Picture 1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7620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16</xdr:row>
      <xdr:rowOff>38100</xdr:rowOff>
    </xdr:from>
    <xdr:to>
      <xdr:col>9</xdr:col>
      <xdr:colOff>571500</xdr:colOff>
      <xdr:row>18</xdr:row>
      <xdr:rowOff>133350</xdr:rowOff>
    </xdr:to>
    <xdr:pic>
      <xdr:nvPicPr>
        <xdr:cNvPr id="2" name="Picture 9" descr="R_lob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2724150"/>
          <a:ext cx="314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10</xdr:row>
      <xdr:rowOff>114300</xdr:rowOff>
    </xdr:from>
    <xdr:to>
      <xdr:col>11</xdr:col>
      <xdr:colOff>581025</xdr:colOff>
      <xdr:row>13</xdr:row>
      <xdr:rowOff>123825</xdr:rowOff>
    </xdr:to>
    <xdr:pic>
      <xdr:nvPicPr>
        <xdr:cNvPr id="3" name="Picture 12" descr="ramo p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781175"/>
          <a:ext cx="304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1</xdr:col>
      <xdr:colOff>66675</xdr:colOff>
      <xdr:row>4</xdr:row>
      <xdr:rowOff>133350</xdr:rowOff>
    </xdr:to>
    <xdr:pic>
      <xdr:nvPicPr>
        <xdr:cNvPr id="4" name="Picture 13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16</xdr:row>
      <xdr:rowOff>38100</xdr:rowOff>
    </xdr:from>
    <xdr:to>
      <xdr:col>4</xdr:col>
      <xdr:colOff>571500</xdr:colOff>
      <xdr:row>18</xdr:row>
      <xdr:rowOff>133350</xdr:rowOff>
    </xdr:to>
    <xdr:pic>
      <xdr:nvPicPr>
        <xdr:cNvPr id="5" name="Picture 14" descr="R_lob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2724150"/>
          <a:ext cx="314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76200</xdr:rowOff>
    </xdr:from>
    <xdr:to>
      <xdr:col>6</xdr:col>
      <xdr:colOff>66675</xdr:colOff>
      <xdr:row>36</xdr:row>
      <xdr:rowOff>133350</xdr:rowOff>
    </xdr:to>
    <xdr:pic>
      <xdr:nvPicPr>
        <xdr:cNvPr id="6" name="Picture 29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673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32</xdr:row>
      <xdr:rowOff>76200</xdr:rowOff>
    </xdr:from>
    <xdr:to>
      <xdr:col>1</xdr:col>
      <xdr:colOff>66675</xdr:colOff>
      <xdr:row>36</xdr:row>
      <xdr:rowOff>133350</xdr:rowOff>
    </xdr:to>
    <xdr:pic>
      <xdr:nvPicPr>
        <xdr:cNvPr id="7" name="Picture 31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673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76200</xdr:rowOff>
    </xdr:from>
    <xdr:to>
      <xdr:col>6</xdr:col>
      <xdr:colOff>66675</xdr:colOff>
      <xdr:row>36</xdr:row>
      <xdr:rowOff>133350</xdr:rowOff>
    </xdr:to>
    <xdr:pic>
      <xdr:nvPicPr>
        <xdr:cNvPr id="8" name="Picture 33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673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32</xdr:row>
      <xdr:rowOff>76200</xdr:rowOff>
    </xdr:from>
    <xdr:to>
      <xdr:col>1</xdr:col>
      <xdr:colOff>66675</xdr:colOff>
      <xdr:row>36</xdr:row>
      <xdr:rowOff>133350</xdr:rowOff>
    </xdr:to>
    <xdr:pic>
      <xdr:nvPicPr>
        <xdr:cNvPr id="9" name="Picture 34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673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66</xdr:row>
      <xdr:rowOff>76200</xdr:rowOff>
    </xdr:from>
    <xdr:to>
      <xdr:col>6</xdr:col>
      <xdr:colOff>66675</xdr:colOff>
      <xdr:row>70</xdr:row>
      <xdr:rowOff>133350</xdr:rowOff>
    </xdr:to>
    <xdr:pic>
      <xdr:nvPicPr>
        <xdr:cNvPr id="10" name="Picture 35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162050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66</xdr:row>
      <xdr:rowOff>76200</xdr:rowOff>
    </xdr:from>
    <xdr:to>
      <xdr:col>1</xdr:col>
      <xdr:colOff>66675</xdr:colOff>
      <xdr:row>70</xdr:row>
      <xdr:rowOff>133350</xdr:rowOff>
    </xdr:to>
    <xdr:pic>
      <xdr:nvPicPr>
        <xdr:cNvPr id="11" name="Picture 36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62050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98</xdr:row>
      <xdr:rowOff>76200</xdr:rowOff>
    </xdr:from>
    <xdr:to>
      <xdr:col>6</xdr:col>
      <xdr:colOff>66675</xdr:colOff>
      <xdr:row>102</xdr:row>
      <xdr:rowOff>133350</xdr:rowOff>
    </xdr:to>
    <xdr:pic>
      <xdr:nvPicPr>
        <xdr:cNvPr id="12" name="Picture 37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73069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98</xdr:row>
      <xdr:rowOff>76200</xdr:rowOff>
    </xdr:from>
    <xdr:to>
      <xdr:col>1</xdr:col>
      <xdr:colOff>66675</xdr:colOff>
      <xdr:row>102</xdr:row>
      <xdr:rowOff>133350</xdr:rowOff>
    </xdr:to>
    <xdr:pic>
      <xdr:nvPicPr>
        <xdr:cNvPr id="13" name="Picture 38" descr="scou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3069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7</xdr:row>
      <xdr:rowOff>76200</xdr:rowOff>
    </xdr:from>
    <xdr:to>
      <xdr:col>10</xdr:col>
      <xdr:colOff>581025</xdr:colOff>
      <xdr:row>10</xdr:row>
      <xdr:rowOff>9525</xdr:rowOff>
    </xdr:to>
    <xdr:pic>
      <xdr:nvPicPr>
        <xdr:cNvPr id="14" name="Picture 40" descr="R_lob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19200"/>
          <a:ext cx="314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11</xdr:row>
      <xdr:rowOff>9525</xdr:rowOff>
    </xdr:from>
    <xdr:to>
      <xdr:col>11</xdr:col>
      <xdr:colOff>0</xdr:colOff>
      <xdr:row>13</xdr:row>
      <xdr:rowOff>95250</xdr:rowOff>
    </xdr:to>
    <xdr:pic>
      <xdr:nvPicPr>
        <xdr:cNvPr id="15" name="Picture 41" descr="r_esco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1838325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7</xdr:row>
      <xdr:rowOff>57150</xdr:rowOff>
    </xdr:from>
    <xdr:to>
      <xdr:col>11</xdr:col>
      <xdr:colOff>590550</xdr:colOff>
      <xdr:row>9</xdr:row>
      <xdr:rowOff>114300</xdr:rowOff>
    </xdr:to>
    <xdr:pic>
      <xdr:nvPicPr>
        <xdr:cNvPr id="16" name="Picture 42" descr="R_seni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120015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14</xdr:col>
      <xdr:colOff>400050</xdr:colOff>
      <xdr:row>31</xdr:row>
      <xdr:rowOff>85725</xdr:rowOff>
    </xdr:to>
    <xdr:pic>
      <xdr:nvPicPr>
        <xdr:cNvPr id="17" name="Picture 43" descr="festajunina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3048000"/>
          <a:ext cx="16192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48</xdr:row>
      <xdr:rowOff>19050</xdr:rowOff>
    </xdr:from>
    <xdr:to>
      <xdr:col>9</xdr:col>
      <xdr:colOff>571500</xdr:colOff>
      <xdr:row>50</xdr:row>
      <xdr:rowOff>95250</xdr:rowOff>
    </xdr:to>
    <xdr:pic>
      <xdr:nvPicPr>
        <xdr:cNvPr id="18" name="Picture 44" descr="r_esco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8315325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48</xdr:row>
      <xdr:rowOff>19050</xdr:rowOff>
    </xdr:from>
    <xdr:to>
      <xdr:col>4</xdr:col>
      <xdr:colOff>571500</xdr:colOff>
      <xdr:row>50</xdr:row>
      <xdr:rowOff>95250</xdr:rowOff>
    </xdr:to>
    <xdr:pic>
      <xdr:nvPicPr>
        <xdr:cNvPr id="19" name="Picture 45" descr="r_esco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8315325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114</xdr:row>
      <xdr:rowOff>28575</xdr:rowOff>
    </xdr:from>
    <xdr:to>
      <xdr:col>9</xdr:col>
      <xdr:colOff>581025</xdr:colOff>
      <xdr:row>117</xdr:row>
      <xdr:rowOff>9525</xdr:rowOff>
    </xdr:to>
    <xdr:pic>
      <xdr:nvPicPr>
        <xdr:cNvPr id="20" name="Picture 47" descr="ramo p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20040600"/>
          <a:ext cx="304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114</xdr:row>
      <xdr:rowOff>38100</xdr:rowOff>
    </xdr:from>
    <xdr:to>
      <xdr:col>4</xdr:col>
      <xdr:colOff>571500</xdr:colOff>
      <xdr:row>117</xdr:row>
      <xdr:rowOff>19050</xdr:rowOff>
    </xdr:to>
    <xdr:pic>
      <xdr:nvPicPr>
        <xdr:cNvPr id="21" name="Picture 48" descr="ramo p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0050125"/>
          <a:ext cx="304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82</xdr:row>
      <xdr:rowOff>28575</xdr:rowOff>
    </xdr:from>
    <xdr:to>
      <xdr:col>9</xdr:col>
      <xdr:colOff>571500</xdr:colOff>
      <xdr:row>84</xdr:row>
      <xdr:rowOff>85725</xdr:rowOff>
    </xdr:to>
    <xdr:pic>
      <xdr:nvPicPr>
        <xdr:cNvPr id="22" name="Picture 49" descr="R_seni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48325" y="14354175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82</xdr:row>
      <xdr:rowOff>38100</xdr:rowOff>
    </xdr:from>
    <xdr:to>
      <xdr:col>4</xdr:col>
      <xdr:colOff>561975</xdr:colOff>
      <xdr:row>84</xdr:row>
      <xdr:rowOff>95250</xdr:rowOff>
    </xdr:to>
    <xdr:pic>
      <xdr:nvPicPr>
        <xdr:cNvPr id="23" name="Picture 50" descr="R_seni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143637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5086350</xdr:colOff>
      <xdr:row>0</xdr:row>
      <xdr:rowOff>38100</xdr:rowOff>
    </xdr:from>
    <xdr:to>
      <xdr:col>1</xdr:col>
      <xdr:colOff>6296025</xdr:colOff>
      <xdr:row>5</xdr:row>
      <xdr:rowOff>38100</xdr:rowOff>
    </xdr:to>
    <xdr:pic>
      <xdr:nvPicPr>
        <xdr:cNvPr id="1" name="Picture 1" descr="Ariranh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81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5095875</xdr:colOff>
      <xdr:row>13</xdr:row>
      <xdr:rowOff>38100</xdr:rowOff>
    </xdr:from>
    <xdr:to>
      <xdr:col>1</xdr:col>
      <xdr:colOff>6305550</xdr:colOff>
      <xdr:row>18</xdr:row>
      <xdr:rowOff>38100</xdr:rowOff>
    </xdr:to>
    <xdr:pic>
      <xdr:nvPicPr>
        <xdr:cNvPr id="2" name="Picture 2" descr="Ariranh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82892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28575</xdr:rowOff>
    </xdr:from>
    <xdr:to>
      <xdr:col>1</xdr:col>
      <xdr:colOff>1257300</xdr:colOff>
      <xdr:row>21</xdr:row>
      <xdr:rowOff>28575</xdr:rowOff>
    </xdr:to>
    <xdr:pic>
      <xdr:nvPicPr>
        <xdr:cNvPr id="3" name="Picture 3" descr="f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819400"/>
          <a:ext cx="122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1</xdr:col>
      <xdr:colOff>1257300</xdr:colOff>
      <xdr:row>8</xdr:row>
      <xdr:rowOff>28575</xdr:rowOff>
    </xdr:to>
    <xdr:pic>
      <xdr:nvPicPr>
        <xdr:cNvPr id="4" name="Picture 4" descr="f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8575"/>
          <a:ext cx="122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5095875</xdr:colOff>
      <xdr:row>26</xdr:row>
      <xdr:rowOff>38100</xdr:rowOff>
    </xdr:from>
    <xdr:to>
      <xdr:col>1</xdr:col>
      <xdr:colOff>6305550</xdr:colOff>
      <xdr:row>31</xdr:row>
      <xdr:rowOff>38100</xdr:rowOff>
    </xdr:to>
    <xdr:pic>
      <xdr:nvPicPr>
        <xdr:cNvPr id="5" name="Picture 5" descr="Ariranh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61975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28575</xdr:rowOff>
    </xdr:from>
    <xdr:to>
      <xdr:col>1</xdr:col>
      <xdr:colOff>1257300</xdr:colOff>
      <xdr:row>34</xdr:row>
      <xdr:rowOff>28575</xdr:rowOff>
    </xdr:to>
    <xdr:pic>
      <xdr:nvPicPr>
        <xdr:cNvPr id="6" name="Picture 6" descr="f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5610225"/>
          <a:ext cx="122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5095875</xdr:colOff>
      <xdr:row>39</xdr:row>
      <xdr:rowOff>38100</xdr:rowOff>
    </xdr:from>
    <xdr:to>
      <xdr:col>1</xdr:col>
      <xdr:colOff>6305550</xdr:colOff>
      <xdr:row>44</xdr:row>
      <xdr:rowOff>38100</xdr:rowOff>
    </xdr:to>
    <xdr:pic>
      <xdr:nvPicPr>
        <xdr:cNvPr id="7" name="Picture 7" descr="Ariranh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41057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28575</xdr:rowOff>
    </xdr:from>
    <xdr:to>
      <xdr:col>1</xdr:col>
      <xdr:colOff>1257300</xdr:colOff>
      <xdr:row>47</xdr:row>
      <xdr:rowOff>28575</xdr:rowOff>
    </xdr:to>
    <xdr:pic>
      <xdr:nvPicPr>
        <xdr:cNvPr id="8" name="Picture 8" descr="f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401050"/>
          <a:ext cx="122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5095875</xdr:colOff>
      <xdr:row>52</xdr:row>
      <xdr:rowOff>38100</xdr:rowOff>
    </xdr:from>
    <xdr:to>
      <xdr:col>1</xdr:col>
      <xdr:colOff>6305550</xdr:colOff>
      <xdr:row>57</xdr:row>
      <xdr:rowOff>38100</xdr:rowOff>
    </xdr:to>
    <xdr:pic>
      <xdr:nvPicPr>
        <xdr:cNvPr id="9" name="Picture 9" descr="Ariranh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2014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28575</xdr:rowOff>
    </xdr:from>
    <xdr:to>
      <xdr:col>1</xdr:col>
      <xdr:colOff>1257300</xdr:colOff>
      <xdr:row>60</xdr:row>
      <xdr:rowOff>28575</xdr:rowOff>
    </xdr:to>
    <xdr:pic>
      <xdr:nvPicPr>
        <xdr:cNvPr id="10" name="Picture 10" descr="fjunina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1191875"/>
          <a:ext cx="122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161925</xdr:rowOff>
    </xdr:from>
    <xdr:to>
      <xdr:col>0</xdr:col>
      <xdr:colOff>981075</xdr:colOff>
      <xdr:row>5</xdr:row>
      <xdr:rowOff>123825</xdr:rowOff>
    </xdr:to>
    <xdr:pic>
      <xdr:nvPicPr>
        <xdr:cNvPr id="1" name="Imagem 31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62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161925</xdr:rowOff>
    </xdr:from>
    <xdr:to>
      <xdr:col>1</xdr:col>
      <xdr:colOff>981075</xdr:colOff>
      <xdr:row>5</xdr:row>
      <xdr:rowOff>123825</xdr:rowOff>
    </xdr:to>
    <xdr:pic>
      <xdr:nvPicPr>
        <xdr:cNvPr id="2" name="Imagem 32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762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</xdr:row>
      <xdr:rowOff>161925</xdr:rowOff>
    </xdr:from>
    <xdr:to>
      <xdr:col>2</xdr:col>
      <xdr:colOff>990600</xdr:colOff>
      <xdr:row>5</xdr:row>
      <xdr:rowOff>123825</xdr:rowOff>
    </xdr:to>
    <xdr:pic>
      <xdr:nvPicPr>
        <xdr:cNvPr id="3" name="Imagem 33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762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161925</xdr:rowOff>
    </xdr:from>
    <xdr:to>
      <xdr:col>3</xdr:col>
      <xdr:colOff>990600</xdr:colOff>
      <xdr:row>5</xdr:row>
      <xdr:rowOff>123825</xdr:rowOff>
    </xdr:to>
    <xdr:pic>
      <xdr:nvPicPr>
        <xdr:cNvPr id="4" name="Imagem 34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7627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161925</xdr:rowOff>
    </xdr:from>
    <xdr:to>
      <xdr:col>4</xdr:col>
      <xdr:colOff>981075</xdr:colOff>
      <xdr:row>5</xdr:row>
      <xdr:rowOff>123825</xdr:rowOff>
    </xdr:to>
    <xdr:pic>
      <xdr:nvPicPr>
        <xdr:cNvPr id="5" name="Imagem 35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62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161925</xdr:rowOff>
    </xdr:from>
    <xdr:to>
      <xdr:col>5</xdr:col>
      <xdr:colOff>981075</xdr:colOff>
      <xdr:row>5</xdr:row>
      <xdr:rowOff>123825</xdr:rowOff>
    </xdr:to>
    <xdr:pic>
      <xdr:nvPicPr>
        <xdr:cNvPr id="6" name="Imagem 36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6762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161925</xdr:rowOff>
    </xdr:from>
    <xdr:to>
      <xdr:col>0</xdr:col>
      <xdr:colOff>981075</xdr:colOff>
      <xdr:row>8</xdr:row>
      <xdr:rowOff>123825</xdr:rowOff>
    </xdr:to>
    <xdr:pic>
      <xdr:nvPicPr>
        <xdr:cNvPr id="7" name="Imagem 61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161925</xdr:rowOff>
    </xdr:from>
    <xdr:to>
      <xdr:col>1</xdr:col>
      <xdr:colOff>981075</xdr:colOff>
      <xdr:row>8</xdr:row>
      <xdr:rowOff>123825</xdr:rowOff>
    </xdr:to>
    <xdr:pic>
      <xdr:nvPicPr>
        <xdr:cNvPr id="8" name="Imagem 63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21907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161925</xdr:rowOff>
    </xdr:from>
    <xdr:to>
      <xdr:col>2</xdr:col>
      <xdr:colOff>981075</xdr:colOff>
      <xdr:row>8</xdr:row>
      <xdr:rowOff>123825</xdr:rowOff>
    </xdr:to>
    <xdr:pic>
      <xdr:nvPicPr>
        <xdr:cNvPr id="9" name="Imagem 64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1907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</xdr:row>
      <xdr:rowOff>161925</xdr:rowOff>
    </xdr:from>
    <xdr:to>
      <xdr:col>3</xdr:col>
      <xdr:colOff>990600</xdr:colOff>
      <xdr:row>8</xdr:row>
      <xdr:rowOff>123825</xdr:rowOff>
    </xdr:to>
    <xdr:pic>
      <xdr:nvPicPr>
        <xdr:cNvPr id="10" name="Imagem 65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19075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161925</xdr:rowOff>
    </xdr:from>
    <xdr:to>
      <xdr:col>4</xdr:col>
      <xdr:colOff>981075</xdr:colOff>
      <xdr:row>8</xdr:row>
      <xdr:rowOff>123825</xdr:rowOff>
    </xdr:to>
    <xdr:pic>
      <xdr:nvPicPr>
        <xdr:cNvPr id="11" name="Imagem 66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1907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161925</xdr:rowOff>
    </xdr:from>
    <xdr:to>
      <xdr:col>5</xdr:col>
      <xdr:colOff>981075</xdr:colOff>
      <xdr:row>8</xdr:row>
      <xdr:rowOff>123825</xdr:rowOff>
    </xdr:to>
    <xdr:pic>
      <xdr:nvPicPr>
        <xdr:cNvPr id="12" name="Imagem 67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1907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161925</xdr:rowOff>
    </xdr:from>
    <xdr:to>
      <xdr:col>0</xdr:col>
      <xdr:colOff>981075</xdr:colOff>
      <xdr:row>11</xdr:row>
      <xdr:rowOff>123825</xdr:rowOff>
    </xdr:to>
    <xdr:pic>
      <xdr:nvPicPr>
        <xdr:cNvPr id="13" name="Imagem 68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052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161925</xdr:rowOff>
    </xdr:from>
    <xdr:to>
      <xdr:col>1</xdr:col>
      <xdr:colOff>981075</xdr:colOff>
      <xdr:row>11</xdr:row>
      <xdr:rowOff>123825</xdr:rowOff>
    </xdr:to>
    <xdr:pic>
      <xdr:nvPicPr>
        <xdr:cNvPr id="14" name="Imagem 69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7052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161925</xdr:rowOff>
    </xdr:from>
    <xdr:to>
      <xdr:col>2</xdr:col>
      <xdr:colOff>981075</xdr:colOff>
      <xdr:row>11</xdr:row>
      <xdr:rowOff>123825</xdr:rowOff>
    </xdr:to>
    <xdr:pic>
      <xdr:nvPicPr>
        <xdr:cNvPr id="15" name="Imagem 70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7052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161925</xdr:rowOff>
    </xdr:from>
    <xdr:to>
      <xdr:col>3</xdr:col>
      <xdr:colOff>990600</xdr:colOff>
      <xdr:row>11</xdr:row>
      <xdr:rowOff>123825</xdr:rowOff>
    </xdr:to>
    <xdr:pic>
      <xdr:nvPicPr>
        <xdr:cNvPr id="16" name="Imagem 71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70522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161925</xdr:rowOff>
    </xdr:from>
    <xdr:to>
      <xdr:col>4</xdr:col>
      <xdr:colOff>981075</xdr:colOff>
      <xdr:row>11</xdr:row>
      <xdr:rowOff>123825</xdr:rowOff>
    </xdr:to>
    <xdr:pic>
      <xdr:nvPicPr>
        <xdr:cNvPr id="17" name="Imagem 72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052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161925</xdr:rowOff>
    </xdr:from>
    <xdr:to>
      <xdr:col>5</xdr:col>
      <xdr:colOff>981075</xdr:colOff>
      <xdr:row>11</xdr:row>
      <xdr:rowOff>123825</xdr:rowOff>
    </xdr:to>
    <xdr:pic>
      <xdr:nvPicPr>
        <xdr:cNvPr id="18" name="Imagem 73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7052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161925</xdr:rowOff>
    </xdr:from>
    <xdr:to>
      <xdr:col>0</xdr:col>
      <xdr:colOff>981075</xdr:colOff>
      <xdr:row>14</xdr:row>
      <xdr:rowOff>123825</xdr:rowOff>
    </xdr:to>
    <xdr:pic>
      <xdr:nvPicPr>
        <xdr:cNvPr id="19" name="Imagem 74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2197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161925</xdr:rowOff>
    </xdr:from>
    <xdr:to>
      <xdr:col>1</xdr:col>
      <xdr:colOff>981075</xdr:colOff>
      <xdr:row>14</xdr:row>
      <xdr:rowOff>123825</xdr:rowOff>
    </xdr:to>
    <xdr:pic>
      <xdr:nvPicPr>
        <xdr:cNvPr id="20" name="Imagem 75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52197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161925</xdr:rowOff>
    </xdr:from>
    <xdr:to>
      <xdr:col>2</xdr:col>
      <xdr:colOff>981075</xdr:colOff>
      <xdr:row>14</xdr:row>
      <xdr:rowOff>123825</xdr:rowOff>
    </xdr:to>
    <xdr:pic>
      <xdr:nvPicPr>
        <xdr:cNvPr id="21" name="Imagem 76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2197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161925</xdr:rowOff>
    </xdr:from>
    <xdr:to>
      <xdr:col>3</xdr:col>
      <xdr:colOff>990600</xdr:colOff>
      <xdr:row>14</xdr:row>
      <xdr:rowOff>123825</xdr:rowOff>
    </xdr:to>
    <xdr:pic>
      <xdr:nvPicPr>
        <xdr:cNvPr id="22" name="Imagem 77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2197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161925</xdr:rowOff>
    </xdr:from>
    <xdr:to>
      <xdr:col>4</xdr:col>
      <xdr:colOff>981075</xdr:colOff>
      <xdr:row>14</xdr:row>
      <xdr:rowOff>123825</xdr:rowOff>
    </xdr:to>
    <xdr:pic>
      <xdr:nvPicPr>
        <xdr:cNvPr id="23" name="Imagem 78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2197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161925</xdr:rowOff>
    </xdr:from>
    <xdr:to>
      <xdr:col>5</xdr:col>
      <xdr:colOff>981075</xdr:colOff>
      <xdr:row>14</xdr:row>
      <xdr:rowOff>123825</xdr:rowOff>
    </xdr:to>
    <xdr:pic>
      <xdr:nvPicPr>
        <xdr:cNvPr id="24" name="Imagem 79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2197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161925</xdr:rowOff>
    </xdr:from>
    <xdr:to>
      <xdr:col>0</xdr:col>
      <xdr:colOff>981075</xdr:colOff>
      <xdr:row>17</xdr:row>
      <xdr:rowOff>123825</xdr:rowOff>
    </xdr:to>
    <xdr:pic>
      <xdr:nvPicPr>
        <xdr:cNvPr id="25" name="Imagem 80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341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1</xdr:col>
      <xdr:colOff>981075</xdr:colOff>
      <xdr:row>17</xdr:row>
      <xdr:rowOff>123825</xdr:rowOff>
    </xdr:to>
    <xdr:pic>
      <xdr:nvPicPr>
        <xdr:cNvPr id="26" name="Imagem 81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7341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161925</xdr:rowOff>
    </xdr:from>
    <xdr:to>
      <xdr:col>2</xdr:col>
      <xdr:colOff>981075</xdr:colOff>
      <xdr:row>17</xdr:row>
      <xdr:rowOff>123825</xdr:rowOff>
    </xdr:to>
    <xdr:pic>
      <xdr:nvPicPr>
        <xdr:cNvPr id="27" name="Imagem 82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67341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</xdr:row>
      <xdr:rowOff>161925</xdr:rowOff>
    </xdr:from>
    <xdr:to>
      <xdr:col>3</xdr:col>
      <xdr:colOff>990600</xdr:colOff>
      <xdr:row>17</xdr:row>
      <xdr:rowOff>123825</xdr:rowOff>
    </xdr:to>
    <xdr:pic>
      <xdr:nvPicPr>
        <xdr:cNvPr id="28" name="Imagem 83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73417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161925</xdr:rowOff>
    </xdr:from>
    <xdr:to>
      <xdr:col>4</xdr:col>
      <xdr:colOff>981075</xdr:colOff>
      <xdr:row>17</xdr:row>
      <xdr:rowOff>123825</xdr:rowOff>
    </xdr:to>
    <xdr:pic>
      <xdr:nvPicPr>
        <xdr:cNvPr id="29" name="Imagem 84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161925</xdr:rowOff>
    </xdr:from>
    <xdr:to>
      <xdr:col>5</xdr:col>
      <xdr:colOff>981075</xdr:colOff>
      <xdr:row>17</xdr:row>
      <xdr:rowOff>123825</xdr:rowOff>
    </xdr:to>
    <xdr:pic>
      <xdr:nvPicPr>
        <xdr:cNvPr id="30" name="Imagem 85" descr="Ariranh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67341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D111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7" width="9.7109375" style="0" customWidth="1"/>
    <col min="8" max="8" width="2.00390625" style="0" customWidth="1"/>
    <col min="9" max="9" width="9.7109375" style="0" customWidth="1"/>
    <col min="10" max="10" width="10.00390625" style="0" customWidth="1"/>
    <col min="11" max="12" width="9.7109375" style="0" customWidth="1"/>
    <col min="13" max="13" width="10.28125" style="0" bestFit="1" customWidth="1"/>
    <col min="14" max="15" width="9.7109375" style="0" customWidth="1"/>
    <col min="16" max="16" width="2.140625" style="0" customWidth="1"/>
    <col min="17" max="17" width="7.8515625" style="0" bestFit="1" customWidth="1"/>
    <col min="18" max="18" width="7.421875" style="21" bestFit="1" customWidth="1"/>
    <col min="19" max="19" width="8.7109375" style="21" bestFit="1" customWidth="1"/>
    <col min="20" max="20" width="2.140625" style="0" customWidth="1"/>
    <col min="21" max="21" width="7.8515625" style="0" bestFit="1" customWidth="1"/>
    <col min="22" max="22" width="7.421875" style="21" bestFit="1" customWidth="1"/>
    <col min="23" max="23" width="9.28125" style="21" bestFit="1" customWidth="1"/>
    <col min="24" max="24" width="10.140625" style="0" bestFit="1" customWidth="1"/>
    <col min="25" max="25" width="13.28125" style="0" bestFit="1" customWidth="1"/>
  </cols>
  <sheetData>
    <row r="1" spans="1:30" ht="12.75">
      <c r="A1" s="95"/>
      <c r="B1" s="95" t="s">
        <v>66</v>
      </c>
      <c r="C1" s="330" t="s">
        <v>76</v>
      </c>
      <c r="D1" s="330"/>
      <c r="E1" s="330"/>
      <c r="F1" s="330"/>
      <c r="G1" s="94"/>
      <c r="H1" s="94"/>
      <c r="I1" s="95" t="s">
        <v>74</v>
      </c>
      <c r="J1" s="330" t="s">
        <v>75</v>
      </c>
      <c r="K1" s="330"/>
      <c r="L1" s="330"/>
      <c r="M1" s="94"/>
      <c r="N1" s="94"/>
      <c r="O1" s="94"/>
      <c r="P1" s="44"/>
      <c r="Q1" s="44"/>
      <c r="R1" s="45"/>
      <c r="S1" s="45"/>
      <c r="T1" s="44"/>
      <c r="U1" s="44"/>
      <c r="V1" s="45"/>
      <c r="W1" s="45"/>
      <c r="X1" s="44"/>
      <c r="Y1" s="44"/>
      <c r="Z1" s="44"/>
      <c r="AA1" s="44"/>
      <c r="AB1" s="44"/>
      <c r="AC1" s="44"/>
      <c r="AD1" s="44"/>
    </row>
    <row r="2" spans="1:30" ht="12.75">
      <c r="A2" s="95"/>
      <c r="B2" s="95" t="s">
        <v>70</v>
      </c>
      <c r="C2" s="330" t="s">
        <v>71</v>
      </c>
      <c r="D2" s="330"/>
      <c r="E2" s="330"/>
      <c r="F2" s="330"/>
      <c r="G2" s="94"/>
      <c r="H2" s="94"/>
      <c r="I2" s="95" t="s">
        <v>72</v>
      </c>
      <c r="J2" s="330" t="s">
        <v>73</v>
      </c>
      <c r="K2" s="330"/>
      <c r="L2" s="330"/>
      <c r="M2" s="94"/>
      <c r="N2" s="94"/>
      <c r="O2" s="94"/>
      <c r="P2" s="44"/>
      <c r="Q2" s="44"/>
      <c r="R2" s="45"/>
      <c r="S2" s="45"/>
      <c r="T2" s="44"/>
      <c r="U2" s="44"/>
      <c r="V2" s="45"/>
      <c r="W2" s="45"/>
      <c r="X2" s="44"/>
      <c r="Y2" s="44"/>
      <c r="Z2" s="44"/>
      <c r="AA2" s="44"/>
      <c r="AB2" s="44"/>
      <c r="AC2" s="44"/>
      <c r="AD2" s="44"/>
    </row>
    <row r="3" spans="1:30" ht="12.75">
      <c r="A3" s="328" t="s">
        <v>63</v>
      </c>
      <c r="B3" s="328"/>
      <c r="C3" s="330" t="s">
        <v>85</v>
      </c>
      <c r="D3" s="330"/>
      <c r="E3" s="330"/>
      <c r="F3" s="94"/>
      <c r="G3" s="94"/>
      <c r="H3" s="94"/>
      <c r="I3" s="95" t="s">
        <v>95</v>
      </c>
      <c r="J3" s="116" t="s">
        <v>96</v>
      </c>
      <c r="K3" s="94"/>
      <c r="L3" s="94"/>
      <c r="M3" s="94"/>
      <c r="N3" s="94"/>
      <c r="O3" s="94"/>
      <c r="P3" s="44"/>
      <c r="Q3" s="44"/>
      <c r="R3" s="45"/>
      <c r="S3" s="45"/>
      <c r="T3" s="44"/>
      <c r="U3" s="44"/>
      <c r="V3" s="45"/>
      <c r="W3" s="45"/>
      <c r="X3" s="44"/>
      <c r="Y3" s="44"/>
      <c r="Z3" s="44"/>
      <c r="AA3" s="44"/>
      <c r="AB3" s="44"/>
      <c r="AC3" s="44"/>
      <c r="AD3" s="44"/>
    </row>
    <row r="4" spans="1:30" ht="12.75">
      <c r="A4" s="328" t="s">
        <v>64</v>
      </c>
      <c r="B4" s="328"/>
      <c r="C4" s="329">
        <v>40362</v>
      </c>
      <c r="D4" s="329"/>
      <c r="E4" s="118" t="str">
        <f>CONCATENATE(IF(WEEKDAY(C4,2)=1,"segunda-feira",""),IF(WEEKDAY(C4,2)=2,"terça-feira",""),IF(WEEKDAY(C4,2)=3,"quarta-feira",""),IF(WEEKDAY(C4,2)=4,"quinta-feira",""),IF(WEEKDAY(C4,2)=5,"sexta-feira",""),IF(WEEKDAY(C4,2)=6,"sábado",""),IF(WEEKDAY(C4,2)=7,"domingo",""),)</f>
        <v>sábado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44"/>
      <c r="Q4" s="44"/>
      <c r="R4" s="45"/>
      <c r="S4" s="45"/>
      <c r="T4" s="44"/>
      <c r="U4" s="44"/>
      <c r="V4" s="45"/>
      <c r="W4" s="45"/>
      <c r="X4" s="44"/>
      <c r="Y4" s="44"/>
      <c r="Z4" s="44"/>
      <c r="AA4" s="44"/>
      <c r="AB4" s="44"/>
      <c r="AC4" s="44"/>
      <c r="AD4" s="44"/>
    </row>
    <row r="5" spans="1:30" ht="12.75">
      <c r="A5" s="95" t="s">
        <v>67</v>
      </c>
      <c r="B5" s="95" t="s">
        <v>68</v>
      </c>
      <c r="C5" s="116">
        <v>18</v>
      </c>
      <c r="D5" s="95" t="s">
        <v>69</v>
      </c>
      <c r="E5" s="116">
        <v>21</v>
      </c>
      <c r="F5" s="94"/>
      <c r="G5" s="94"/>
      <c r="H5" s="94"/>
      <c r="I5" s="94"/>
      <c r="J5" s="94"/>
      <c r="K5" s="94"/>
      <c r="L5" s="341" t="s">
        <v>102</v>
      </c>
      <c r="M5" s="341"/>
      <c r="N5" s="341"/>
      <c r="O5" s="94"/>
      <c r="P5" s="44"/>
      <c r="Q5" s="44"/>
      <c r="R5" s="45"/>
      <c r="S5" s="45"/>
      <c r="T5" s="44"/>
      <c r="U5" s="44"/>
      <c r="V5" s="45"/>
      <c r="W5" s="45"/>
      <c r="X5" s="44"/>
      <c r="Y5" s="44"/>
      <c r="Z5" s="44"/>
      <c r="AA5" s="44"/>
      <c r="AB5" s="44"/>
      <c r="AC5" s="44"/>
      <c r="AD5" s="44"/>
    </row>
    <row r="6" spans="1:30" ht="12.75">
      <c r="A6" s="94"/>
      <c r="B6" s="95" t="s">
        <v>84</v>
      </c>
      <c r="C6" s="117">
        <v>6</v>
      </c>
      <c r="D6" s="101" t="s">
        <v>77</v>
      </c>
      <c r="E6" s="330" t="s">
        <v>88</v>
      </c>
      <c r="F6" s="330"/>
      <c r="G6" s="330"/>
      <c r="H6" s="94"/>
      <c r="I6" s="117">
        <v>2</v>
      </c>
      <c r="J6" s="94"/>
      <c r="K6" s="126"/>
      <c r="L6" s="337" t="s">
        <v>169</v>
      </c>
      <c r="M6" s="338"/>
      <c r="N6" s="143">
        <v>0.5</v>
      </c>
      <c r="O6" s="94"/>
      <c r="P6" s="44"/>
      <c r="Q6" s="44"/>
      <c r="R6" s="45"/>
      <c r="S6" s="45"/>
      <c r="T6" s="44"/>
      <c r="U6" s="44"/>
      <c r="V6" s="45"/>
      <c r="W6" s="45"/>
      <c r="X6" s="44"/>
      <c r="Y6" s="44"/>
      <c r="Z6" s="44"/>
      <c r="AA6" s="44"/>
      <c r="AB6" s="44"/>
      <c r="AC6" s="44"/>
      <c r="AD6" s="44"/>
    </row>
    <row r="7" spans="1:30" ht="12.75">
      <c r="A7" s="94"/>
      <c r="B7" s="94"/>
      <c r="C7" s="94"/>
      <c r="D7" s="94"/>
      <c r="E7" s="330" t="s">
        <v>127</v>
      </c>
      <c r="F7" s="330"/>
      <c r="G7" s="330"/>
      <c r="H7" s="94"/>
      <c r="I7" s="117">
        <v>1</v>
      </c>
      <c r="J7" s="94"/>
      <c r="K7" s="94"/>
      <c r="L7" s="337" t="s">
        <v>170</v>
      </c>
      <c r="M7" s="338"/>
      <c r="N7" s="143">
        <v>1</v>
      </c>
      <c r="O7" s="94"/>
      <c r="P7" s="44"/>
      <c r="Q7" s="44"/>
      <c r="R7" s="45"/>
      <c r="S7" s="45"/>
      <c r="T7" s="44"/>
      <c r="U7" s="44"/>
      <c r="V7" s="45"/>
      <c r="W7" s="45"/>
      <c r="X7" s="44"/>
      <c r="Y7" s="44"/>
      <c r="Z7" s="44"/>
      <c r="AA7" s="44"/>
      <c r="AB7" s="44"/>
      <c r="AC7" s="44"/>
      <c r="AD7" s="44"/>
    </row>
    <row r="8" spans="1:30" ht="12.75">
      <c r="A8" s="94"/>
      <c r="B8" s="94"/>
      <c r="C8" s="94"/>
      <c r="D8" s="94"/>
      <c r="E8" s="330" t="s">
        <v>242</v>
      </c>
      <c r="F8" s="330"/>
      <c r="G8" s="330"/>
      <c r="H8" s="94"/>
      <c r="I8" s="117">
        <v>1</v>
      </c>
      <c r="J8" s="94"/>
      <c r="K8" s="94"/>
      <c r="L8" s="337" t="s">
        <v>171</v>
      </c>
      <c r="M8" s="338"/>
      <c r="N8" s="143">
        <v>1</v>
      </c>
      <c r="O8" s="94"/>
      <c r="P8" s="44"/>
      <c r="Q8" s="44"/>
      <c r="R8" s="45"/>
      <c r="S8" s="45"/>
      <c r="T8" s="44"/>
      <c r="U8" s="44"/>
      <c r="V8" s="45"/>
      <c r="W8" s="45"/>
      <c r="X8" s="44"/>
      <c r="Y8" s="44"/>
      <c r="Z8" s="44"/>
      <c r="AA8" s="44"/>
      <c r="AB8" s="44"/>
      <c r="AC8" s="44"/>
      <c r="AD8" s="44"/>
    </row>
    <row r="9" spans="1:30" ht="12.75">
      <c r="A9" s="94"/>
      <c r="B9" s="94"/>
      <c r="C9" s="94"/>
      <c r="D9" s="94"/>
      <c r="E9" s="330" t="s">
        <v>86</v>
      </c>
      <c r="F9" s="330"/>
      <c r="G9" s="330"/>
      <c r="H9" s="94"/>
      <c r="I9" s="117">
        <v>1</v>
      </c>
      <c r="J9" s="94"/>
      <c r="K9" s="94"/>
      <c r="L9" s="337" t="s">
        <v>172</v>
      </c>
      <c r="M9" s="338"/>
      <c r="N9" s="143">
        <v>2</v>
      </c>
      <c r="O9" s="94"/>
      <c r="P9" s="44"/>
      <c r="Q9" s="44"/>
      <c r="R9" s="45"/>
      <c r="S9" s="45"/>
      <c r="T9" s="44"/>
      <c r="U9" s="44"/>
      <c r="V9" s="45"/>
      <c r="W9" s="45"/>
      <c r="X9" s="44"/>
      <c r="Y9" s="44"/>
      <c r="Z9" s="44"/>
      <c r="AA9" s="44"/>
      <c r="AB9" s="44"/>
      <c r="AC9" s="44"/>
      <c r="AD9" s="44"/>
    </row>
    <row r="10" spans="1:30" ht="12.75">
      <c r="A10" s="94"/>
      <c r="B10" s="95" t="s">
        <v>93</v>
      </c>
      <c r="C10" s="330" t="s">
        <v>174</v>
      </c>
      <c r="D10" s="330"/>
      <c r="E10" s="330"/>
      <c r="F10" s="330"/>
      <c r="G10" s="131"/>
      <c r="H10" s="94"/>
      <c r="I10" s="132"/>
      <c r="J10" s="94"/>
      <c r="K10" s="94"/>
      <c r="L10" s="337" t="s">
        <v>205</v>
      </c>
      <c r="M10" s="338"/>
      <c r="N10" s="299"/>
      <c r="O10" s="94"/>
      <c r="P10" s="44"/>
      <c r="Q10" s="44"/>
      <c r="R10" s="45"/>
      <c r="S10" s="45"/>
      <c r="T10" s="44"/>
      <c r="U10" s="44"/>
      <c r="V10" s="45"/>
      <c r="W10" s="45"/>
      <c r="X10" s="44"/>
      <c r="Y10" s="44"/>
      <c r="Z10" s="44"/>
      <c r="AA10" s="44"/>
      <c r="AB10" s="44"/>
      <c r="AC10" s="44"/>
      <c r="AD10" s="44"/>
    </row>
    <row r="11" spans="1:30" ht="12.75">
      <c r="A11" s="94"/>
      <c r="B11" s="95" t="s">
        <v>94</v>
      </c>
      <c r="C11" s="330" t="s">
        <v>167</v>
      </c>
      <c r="D11" s="330"/>
      <c r="E11" s="330"/>
      <c r="F11" s="330"/>
      <c r="G11" s="330"/>
      <c r="H11" s="330"/>
      <c r="I11" s="330"/>
      <c r="J11" s="94"/>
      <c r="K11" s="94"/>
      <c r="L11" s="337" t="s">
        <v>173</v>
      </c>
      <c r="M11" s="338"/>
      <c r="N11" s="143">
        <v>1</v>
      </c>
      <c r="O11" s="94"/>
      <c r="P11" s="44"/>
      <c r="Q11" s="44"/>
      <c r="R11" s="45"/>
      <c r="S11" s="45"/>
      <c r="T11" s="44"/>
      <c r="U11" s="44"/>
      <c r="V11" s="45"/>
      <c r="W11" s="45"/>
      <c r="X11" s="44"/>
      <c r="Y11" s="44"/>
      <c r="Z11" s="44"/>
      <c r="AA11" s="44"/>
      <c r="AB11" s="44"/>
      <c r="AC11" s="44"/>
      <c r="AD11" s="44"/>
    </row>
    <row r="12" spans="1:30" ht="12.75">
      <c r="A12" s="94"/>
      <c r="B12" s="94"/>
      <c r="C12" s="94"/>
      <c r="D12" s="94"/>
      <c r="E12" s="131"/>
      <c r="F12" s="131"/>
      <c r="G12" s="131"/>
      <c r="H12" s="94"/>
      <c r="I12" s="132"/>
      <c r="J12" s="94"/>
      <c r="K12" s="94"/>
      <c r="L12" s="94"/>
      <c r="M12" s="94"/>
      <c r="N12" s="132"/>
      <c r="O12" s="94"/>
      <c r="P12" s="44"/>
      <c r="Q12" s="44"/>
      <c r="R12" s="45"/>
      <c r="S12" s="45"/>
      <c r="T12" s="44"/>
      <c r="U12" s="44"/>
      <c r="V12" s="45"/>
      <c r="W12" s="45"/>
      <c r="X12" s="44"/>
      <c r="Y12" s="44"/>
      <c r="Z12" s="44"/>
      <c r="AA12" s="44"/>
      <c r="AB12" s="44"/>
      <c r="AC12" s="44"/>
      <c r="AD12" s="44"/>
    </row>
    <row r="13" spans="11:30" ht="9" customHeight="1">
      <c r="K13" s="76"/>
      <c r="P13" s="44"/>
      <c r="Q13" s="44"/>
      <c r="R13" s="45"/>
      <c r="S13" s="45"/>
      <c r="T13" s="44"/>
      <c r="U13" s="44"/>
      <c r="V13" s="45"/>
      <c r="W13" s="45"/>
      <c r="X13" s="44"/>
      <c r="Y13" s="44"/>
      <c r="Z13" s="44"/>
      <c r="AA13" s="44"/>
      <c r="AB13" s="44"/>
      <c r="AC13" s="44"/>
      <c r="AD13" s="44"/>
    </row>
    <row r="14" spans="2:30" ht="15.75">
      <c r="B14" s="340" t="str">
        <f>C3</f>
        <v>Festa Junina</v>
      </c>
      <c r="C14" s="340"/>
      <c r="D14" s="340"/>
      <c r="E14" s="115">
        <f>C4</f>
        <v>40362</v>
      </c>
      <c r="F14" s="111"/>
      <c r="G14" s="111"/>
      <c r="H14" s="111"/>
      <c r="I14" s="112" t="str">
        <f>C1</f>
        <v>Grupo Escoteiro Guaianazes 68ºSP</v>
      </c>
      <c r="J14" s="113"/>
      <c r="K14" s="113"/>
      <c r="L14" s="113"/>
      <c r="M14" s="114"/>
      <c r="P14" s="44"/>
      <c r="Q14" s="44"/>
      <c r="R14" s="45"/>
      <c r="S14" s="45"/>
      <c r="T14" s="44"/>
      <c r="U14" s="44"/>
      <c r="V14" s="45"/>
      <c r="W14" s="45"/>
      <c r="X14" s="44"/>
      <c r="Y14" s="44"/>
      <c r="Z14" s="44"/>
      <c r="AA14" s="44"/>
      <c r="AB14" s="44"/>
      <c r="AC14" s="44"/>
      <c r="AD14" s="44"/>
    </row>
    <row r="15" spans="11:30" ht="9" customHeight="1">
      <c r="K15" s="76"/>
      <c r="P15" s="44"/>
      <c r="Q15" s="44"/>
      <c r="R15" s="45"/>
      <c r="S15" s="45"/>
      <c r="T15" s="44"/>
      <c r="U15" s="44"/>
      <c r="V15" s="45"/>
      <c r="W15" s="45"/>
      <c r="X15" s="44"/>
      <c r="Y15" s="44"/>
      <c r="Z15" s="44"/>
      <c r="AA15" s="44"/>
      <c r="AB15" s="44"/>
      <c r="AC15" s="44"/>
      <c r="AD15" s="44"/>
    </row>
    <row r="16" spans="1:30" ht="12.75">
      <c r="A16" s="339">
        <f>$E$14-30</f>
        <v>40332</v>
      </c>
      <c r="B16" s="339"/>
      <c r="C16" s="339"/>
      <c r="D16" s="339"/>
      <c r="E16" s="339"/>
      <c r="F16" s="339"/>
      <c r="G16" s="339"/>
      <c r="I16" s="339">
        <f>$E$14</f>
        <v>40362</v>
      </c>
      <c r="J16" s="339"/>
      <c r="K16" s="339"/>
      <c r="L16" s="339"/>
      <c r="M16" s="339"/>
      <c r="N16" s="339"/>
      <c r="O16" s="339"/>
      <c r="P16" s="44"/>
      <c r="Q16" s="44"/>
      <c r="R16" s="45"/>
      <c r="S16" s="45"/>
      <c r="T16" s="44"/>
      <c r="U16" s="44"/>
      <c r="V16" s="45"/>
      <c r="W16" s="45"/>
      <c r="X16" s="44"/>
      <c r="Y16" s="44"/>
      <c r="Z16" s="44"/>
      <c r="AA16" s="44"/>
      <c r="AB16" s="44"/>
      <c r="AC16" s="44"/>
      <c r="AD16" s="44"/>
    </row>
    <row r="17" spans="1:30" s="21" customFormat="1" ht="12.75">
      <c r="A17" s="79" t="s">
        <v>33</v>
      </c>
      <c r="B17" s="77" t="s">
        <v>34</v>
      </c>
      <c r="C17" s="77" t="s">
        <v>35</v>
      </c>
      <c r="D17" s="77" t="s">
        <v>36</v>
      </c>
      <c r="E17" s="77" t="s">
        <v>37</v>
      </c>
      <c r="F17" s="77" t="s">
        <v>38</v>
      </c>
      <c r="G17" s="80" t="s">
        <v>39</v>
      </c>
      <c r="H17" s="78"/>
      <c r="I17" s="79" t="s">
        <v>33</v>
      </c>
      <c r="J17" s="77" t="s">
        <v>34</v>
      </c>
      <c r="K17" s="77" t="s">
        <v>35</v>
      </c>
      <c r="L17" s="77" t="s">
        <v>36</v>
      </c>
      <c r="M17" s="77" t="s">
        <v>37</v>
      </c>
      <c r="N17" s="77" t="s">
        <v>38</v>
      </c>
      <c r="O17" s="80" t="s">
        <v>39</v>
      </c>
      <c r="P17" s="45"/>
      <c r="Q17" s="89" t="str">
        <f>CONCATENATE("01","/",MONTH($A$16),"/",YEAR($A$16))</f>
        <v>01/6/2010</v>
      </c>
      <c r="R17" s="91">
        <f>WEEKDAY(Q17,2)</f>
        <v>2</v>
      </c>
      <c r="S17" s="91" t="str">
        <f aca="true" t="shared" si="0" ref="S17:S29">CONCATENATE(IF(R17=1,"SEG",""),IF(R17=2,"TER",""),IF(R17=3,"QUA",""),IF(R17=4,"QUI",""),IF(R17=5,"SEX",""),IF(R17=6,"SAB",""),IF(R17=7,"DOM",""))</f>
        <v>TER</v>
      </c>
      <c r="T17" s="44"/>
      <c r="U17" s="90" t="str">
        <f>CONCATENATE("01","/",MONTH($I$16),"/",YEAR($I$16))</f>
        <v>01/7/2010</v>
      </c>
      <c r="V17" s="91">
        <f>WEEKDAY(U17,2)</f>
        <v>4</v>
      </c>
      <c r="W17" s="91" t="str">
        <f>CONCATENATE(IF(V17=1,"SEG",""),IF(V17=2,"TER",""),IF(V17=3,"QUA",""),IF(V17=4,"QUI",""),IF(V17=5,"SEX",""),IF(V17=6,"SAB",""),IF(V17=7,"DOM",""))</f>
        <v>QUI</v>
      </c>
      <c r="X17" s="86"/>
      <c r="Y17" s="45"/>
      <c r="Z17" s="45"/>
      <c r="AA17" s="45"/>
      <c r="AB17" s="45"/>
      <c r="AC17" s="45"/>
      <c r="AD17" s="45"/>
    </row>
    <row r="18" spans="1:30" ht="12.75">
      <c r="A18" s="87">
        <f>IF($R$17=7,DAY($Q$17),0)</f>
        <v>0</v>
      </c>
      <c r="B18" s="87">
        <f>IF($R$17=1,DAY($Q$17),IF(A18&gt;0,A18+1,0))</f>
        <v>0</v>
      </c>
      <c r="C18" s="87">
        <f>IF($R$17=2,DAY($Q$17),IF(B18&gt;0,B18+1,0))</f>
        <v>1</v>
      </c>
      <c r="D18" s="87">
        <f>IF($R$17=3,DAY($Q$17),IF(C18&gt;0,C18+1,0))</f>
        <v>2</v>
      </c>
      <c r="E18" s="87">
        <f>IF($R$17=4,DAY($Q$17),IF(D18&gt;0,D18+1,0))</f>
        <v>3</v>
      </c>
      <c r="F18" s="87">
        <f>IF($R$17=5,DAY($Q$17),IF(E18&gt;0,E18+1,0))</f>
        <v>4</v>
      </c>
      <c r="G18" s="82">
        <f>IF($R$17=6,DAY($Q$17),IF(F18&gt;0,F18+1,0))</f>
        <v>5</v>
      </c>
      <c r="I18" s="87">
        <f>IF($V$17=7,DAY($U$17),0)</f>
        <v>0</v>
      </c>
      <c r="J18" s="87">
        <f>IF($V$17=1,DAY($U$17),IF(I18&gt;0,I18+1,0))</f>
        <v>0</v>
      </c>
      <c r="K18" s="87">
        <f>IF($V$17=2,DAY($U$17),IF(J18&gt;0,J18+1,0))</f>
        <v>0</v>
      </c>
      <c r="L18" s="87">
        <f>IF($V$17=3,DAY($U$17),IF(K18&gt;0,K18+1,0))</f>
        <v>0</v>
      </c>
      <c r="M18" s="87">
        <f>IF($V$17=4,DAY($U$17),IF(L18&gt;0,L18+1,0))</f>
        <v>1</v>
      </c>
      <c r="N18" s="87">
        <f>IF($V$17=5,DAY($U$17),IF(M18&gt;0,M18+1,0))</f>
        <v>2</v>
      </c>
      <c r="O18" s="82">
        <f>IF($V$17=6,DAY($U$17),IF(N18&gt;0,N18+1,0))</f>
        <v>3</v>
      </c>
      <c r="P18" s="44"/>
      <c r="Q18" s="89" t="str">
        <f>CONCATENATE("02","/",MONTH($A$16),"/",YEAR($A$16))</f>
        <v>02/6/2010</v>
      </c>
      <c r="R18" s="91">
        <f aca="true" t="shared" si="1" ref="R18:R49">WEEKDAY(Q18,2)</f>
        <v>3</v>
      </c>
      <c r="S18" s="91" t="str">
        <f t="shared" si="0"/>
        <v>QUA</v>
      </c>
      <c r="T18" s="44"/>
      <c r="U18" s="89" t="str">
        <f>CONCATENATE("02","/",MONTH($I$16),"/",YEAR($I$16))</f>
        <v>02/7/2010</v>
      </c>
      <c r="V18" s="91">
        <f aca="true" t="shared" si="2" ref="V18:V49">WEEKDAY(U18,2)</f>
        <v>5</v>
      </c>
      <c r="W18" s="91" t="str">
        <f aca="true" t="shared" si="3" ref="W18:W29">CONCATENATE(IF(V18=1,"SEG",""),IF(V18=2,"TER",""),IF(V18=3,"QUA",""),IF(V18=4,"QUI",""),IF(V18=5,"SEX",""),IF(V18=6,"SAB",""),IF(V18=7,"DOM",""))</f>
        <v>SEX</v>
      </c>
      <c r="X18" s="86"/>
      <c r="Y18" s="44"/>
      <c r="Z18" s="44"/>
      <c r="AA18" s="44"/>
      <c r="AB18" s="44"/>
      <c r="AC18" s="44"/>
      <c r="AD18" s="44"/>
    </row>
    <row r="19" spans="1:30" ht="12.75">
      <c r="A19" s="88">
        <f aca="true" t="shared" si="4" ref="A19:F19">IF(A18=0,0,"-")</f>
        <v>0</v>
      </c>
      <c r="B19" s="87">
        <f t="shared" si="4"/>
        <v>0</v>
      </c>
      <c r="C19" s="87" t="str">
        <f t="shared" si="4"/>
        <v>-</v>
      </c>
      <c r="D19" s="87" t="str">
        <f t="shared" si="4"/>
        <v>-</v>
      </c>
      <c r="E19" s="87" t="str">
        <f t="shared" si="4"/>
        <v>-</v>
      </c>
      <c r="F19" s="87" t="str">
        <f t="shared" si="4"/>
        <v>-</v>
      </c>
      <c r="G19" s="83" t="str">
        <f>M33</f>
        <v>propaganda</v>
      </c>
      <c r="I19" s="88">
        <f aca="true" t="shared" si="5" ref="I19:N19">IF(I18=0,0,"-")</f>
        <v>0</v>
      </c>
      <c r="J19" s="87">
        <f t="shared" si="5"/>
        <v>0</v>
      </c>
      <c r="K19" s="87">
        <f t="shared" si="5"/>
        <v>0</v>
      </c>
      <c r="L19" s="87">
        <f t="shared" si="5"/>
        <v>0</v>
      </c>
      <c r="M19" s="87" t="str">
        <f t="shared" si="5"/>
        <v>-</v>
      </c>
      <c r="N19" s="87" t="str">
        <f t="shared" si="5"/>
        <v>-</v>
      </c>
      <c r="O19" s="83" t="str">
        <f>M44</f>
        <v>FESTA ! ! !</v>
      </c>
      <c r="P19" s="44"/>
      <c r="Q19" s="89" t="str">
        <f>CONCATENATE("03","/",MONTH($A$16),"/",YEAR($A$16))</f>
        <v>03/6/2010</v>
      </c>
      <c r="R19" s="91">
        <f t="shared" si="1"/>
        <v>4</v>
      </c>
      <c r="S19" s="91" t="str">
        <f t="shared" si="0"/>
        <v>QUI</v>
      </c>
      <c r="T19" s="44"/>
      <c r="U19" s="89" t="str">
        <f>CONCATENATE("03","/",MONTH($I$16),"/",YEAR($I$16))</f>
        <v>03/7/2010</v>
      </c>
      <c r="V19" s="91">
        <f t="shared" si="2"/>
        <v>6</v>
      </c>
      <c r="W19" s="91" t="str">
        <f t="shared" si="3"/>
        <v>SAB</v>
      </c>
      <c r="X19" s="86"/>
      <c r="Y19" s="44"/>
      <c r="Z19" s="44"/>
      <c r="AA19" s="44"/>
      <c r="AB19" s="44"/>
      <c r="AC19" s="44"/>
      <c r="AD19" s="44"/>
    </row>
    <row r="20" spans="1:30" ht="12.75">
      <c r="A20" s="87">
        <f>$G$18+1</f>
        <v>6</v>
      </c>
      <c r="B20" s="82">
        <f>$G$18+2</f>
        <v>7</v>
      </c>
      <c r="C20" s="82">
        <f>$G$18+3</f>
        <v>8</v>
      </c>
      <c r="D20" s="82">
        <f>$G$18+4</f>
        <v>9</v>
      </c>
      <c r="E20" s="82">
        <f>$G$18+5</f>
        <v>10</v>
      </c>
      <c r="F20" s="82">
        <f>$G$18+6</f>
        <v>11</v>
      </c>
      <c r="G20" s="82">
        <f>$G$18+7</f>
        <v>12</v>
      </c>
      <c r="I20" s="87">
        <f>$O$18+1</f>
        <v>4</v>
      </c>
      <c r="J20" s="82">
        <f>$O$18+2</f>
        <v>5</v>
      </c>
      <c r="K20" s="82">
        <f>$O$18+3</f>
        <v>6</v>
      </c>
      <c r="L20" s="82">
        <f>$O$18+4</f>
        <v>7</v>
      </c>
      <c r="M20" s="82">
        <f>$O$18+5</f>
        <v>8</v>
      </c>
      <c r="N20" s="82">
        <f>$O$18+6</f>
        <v>9</v>
      </c>
      <c r="O20" s="82">
        <f>$O$18+7</f>
        <v>10</v>
      </c>
      <c r="P20" s="44"/>
      <c r="Q20" s="89" t="str">
        <f>CONCATENATE("04","/",MONTH($A$16),"/",YEAR($A$16))</f>
        <v>04/6/2010</v>
      </c>
      <c r="R20" s="91">
        <f t="shared" si="1"/>
        <v>5</v>
      </c>
      <c r="S20" s="91" t="str">
        <f t="shared" si="0"/>
        <v>SEX</v>
      </c>
      <c r="T20" s="44"/>
      <c r="U20" s="89" t="str">
        <f>CONCATENATE("04","/",MONTH($I$16),"/",YEAR($I$16))</f>
        <v>04/7/2010</v>
      </c>
      <c r="V20" s="91">
        <f t="shared" si="2"/>
        <v>7</v>
      </c>
      <c r="W20" s="91" t="str">
        <f t="shared" si="3"/>
        <v>DOM</v>
      </c>
      <c r="X20" s="86"/>
      <c r="Y20" s="44"/>
      <c r="Z20" s="44"/>
      <c r="AA20" s="44"/>
      <c r="AB20" s="44"/>
      <c r="AC20" s="44"/>
      <c r="AD20" s="44"/>
    </row>
    <row r="21" spans="1:30" ht="12.75">
      <c r="A21" s="88" t="str">
        <f aca="true" t="shared" si="6" ref="A21:F21">IF(A20&gt;0," ","-")</f>
        <v> </v>
      </c>
      <c r="B21" s="82" t="str">
        <f t="shared" si="6"/>
        <v> </v>
      </c>
      <c r="C21" s="82" t="str">
        <f t="shared" si="6"/>
        <v> </v>
      </c>
      <c r="D21" s="82" t="str">
        <f t="shared" si="6"/>
        <v> </v>
      </c>
      <c r="E21" s="82" t="str">
        <f t="shared" si="6"/>
        <v> </v>
      </c>
      <c r="F21" s="82" t="str">
        <f t="shared" si="6"/>
        <v> </v>
      </c>
      <c r="G21" s="83" t="str">
        <f>M38</f>
        <v>distribuição</v>
      </c>
      <c r="I21" s="88" t="str">
        <f aca="true" t="shared" si="7" ref="I21:N21">IF(I20&gt;0," ","-")</f>
        <v> </v>
      </c>
      <c r="J21" s="82" t="str">
        <f t="shared" si="7"/>
        <v> </v>
      </c>
      <c r="K21" s="82" t="str">
        <f t="shared" si="7"/>
        <v> </v>
      </c>
      <c r="L21" s="82" t="str">
        <f t="shared" si="7"/>
        <v> </v>
      </c>
      <c r="M21" s="82" t="str">
        <f t="shared" si="7"/>
        <v> </v>
      </c>
      <c r="N21" s="82" t="str">
        <f t="shared" si="7"/>
        <v> </v>
      </c>
      <c r="O21" s="83" t="str">
        <f>M51</f>
        <v>relatório</v>
      </c>
      <c r="P21" s="44"/>
      <c r="Q21" s="89" t="str">
        <f>CONCATENATE("05","/",MONTH($A$16),"/",YEAR($A$16))</f>
        <v>05/6/2010</v>
      </c>
      <c r="R21" s="91">
        <f t="shared" si="1"/>
        <v>6</v>
      </c>
      <c r="S21" s="91" t="str">
        <f t="shared" si="0"/>
        <v>SAB</v>
      </c>
      <c r="T21" s="44"/>
      <c r="U21" s="89" t="str">
        <f>CONCATENATE("05","/",MONTH($I$16),"/",YEAR($I$16))</f>
        <v>05/7/2010</v>
      </c>
      <c r="V21" s="91">
        <f t="shared" si="2"/>
        <v>1</v>
      </c>
      <c r="W21" s="91" t="str">
        <f t="shared" si="3"/>
        <v>SEG</v>
      </c>
      <c r="X21" s="86"/>
      <c r="Y21" s="44"/>
      <c r="Z21" s="44"/>
      <c r="AA21" s="44"/>
      <c r="AB21" s="44"/>
      <c r="AC21" s="44"/>
      <c r="AD21" s="44"/>
    </row>
    <row r="22" spans="1:30" ht="12.75">
      <c r="A22" s="87">
        <f>$G$18+8</f>
        <v>13</v>
      </c>
      <c r="B22" s="82">
        <f>$G$18+9</f>
        <v>14</v>
      </c>
      <c r="C22" s="82">
        <f>$G$18+10</f>
        <v>15</v>
      </c>
      <c r="D22" s="82">
        <f>$G$18+11</f>
        <v>16</v>
      </c>
      <c r="E22" s="82">
        <f>$G$18+12</f>
        <v>17</v>
      </c>
      <c r="F22" s="82">
        <f>$G$18+13</f>
        <v>18</v>
      </c>
      <c r="G22" s="82">
        <f>$G$18+14</f>
        <v>19</v>
      </c>
      <c r="I22" s="87">
        <f>$O$18+8</f>
        <v>11</v>
      </c>
      <c r="J22" s="82">
        <f>$O$18+9</f>
        <v>12</v>
      </c>
      <c r="K22" s="82">
        <f>$O$18+10</f>
        <v>13</v>
      </c>
      <c r="L22" s="82">
        <f>$O$18+11</f>
        <v>14</v>
      </c>
      <c r="M22" s="82">
        <f>$O$18+12</f>
        <v>15</v>
      </c>
      <c r="N22" s="82">
        <f>$O$18+13</f>
        <v>16</v>
      </c>
      <c r="O22" s="82">
        <f>$O$18+14</f>
        <v>17</v>
      </c>
      <c r="P22" s="44"/>
      <c r="Q22" s="89" t="str">
        <f>CONCATENATE("06","/",MONTH($A$16),"/",YEAR($A$16))</f>
        <v>06/6/2010</v>
      </c>
      <c r="R22" s="91">
        <f t="shared" si="1"/>
        <v>7</v>
      </c>
      <c r="S22" s="91" t="str">
        <f t="shared" si="0"/>
        <v>DOM</v>
      </c>
      <c r="T22" s="44"/>
      <c r="U22" s="89" t="str">
        <f>CONCATENATE("06","/",MONTH($I$16),"/",YEAR($I$16))</f>
        <v>06/7/2010</v>
      </c>
      <c r="V22" s="91">
        <f t="shared" si="2"/>
        <v>2</v>
      </c>
      <c r="W22" s="91" t="str">
        <f t="shared" si="3"/>
        <v>TER</v>
      </c>
      <c r="X22" s="86"/>
      <c r="Y22" s="44"/>
      <c r="Z22" s="44"/>
      <c r="AA22" s="44"/>
      <c r="AB22" s="44"/>
      <c r="AC22" s="44"/>
      <c r="AD22" s="44"/>
    </row>
    <row r="23" spans="1:30" ht="12.75">
      <c r="A23" s="88" t="str">
        <f aca="true" t="shared" si="8" ref="A23:G23">IF(A22&gt;0," ","-")</f>
        <v> </v>
      </c>
      <c r="B23" s="82" t="str">
        <f t="shared" si="8"/>
        <v> </v>
      </c>
      <c r="C23" s="82" t="str">
        <f t="shared" si="8"/>
        <v> </v>
      </c>
      <c r="D23" s="82" t="str">
        <f t="shared" si="8"/>
        <v> </v>
      </c>
      <c r="E23" s="82" t="str">
        <f t="shared" si="8"/>
        <v> </v>
      </c>
      <c r="F23" s="82" t="str">
        <f t="shared" si="8"/>
        <v> </v>
      </c>
      <c r="G23" s="83" t="str">
        <f t="shared" si="8"/>
        <v> </v>
      </c>
      <c r="I23" s="88" t="str">
        <f aca="true" t="shared" si="9" ref="I23:O23">IF(I22&gt;0," ","-")</f>
        <v> </v>
      </c>
      <c r="J23" s="82" t="str">
        <f t="shared" si="9"/>
        <v> </v>
      </c>
      <c r="K23" s="82" t="str">
        <f t="shared" si="9"/>
        <v> </v>
      </c>
      <c r="L23" s="82" t="str">
        <f t="shared" si="9"/>
        <v> </v>
      </c>
      <c r="M23" s="82" t="str">
        <f t="shared" si="9"/>
        <v> </v>
      </c>
      <c r="N23" s="82" t="str">
        <f t="shared" si="9"/>
        <v> </v>
      </c>
      <c r="O23" s="83" t="str">
        <f t="shared" si="9"/>
        <v> </v>
      </c>
      <c r="P23" s="44"/>
      <c r="Q23" s="89" t="str">
        <f>CONCATENATE("07","/",MONTH($A$16),"/",YEAR($A$16))</f>
        <v>07/6/2010</v>
      </c>
      <c r="R23" s="91">
        <f t="shared" si="1"/>
        <v>1</v>
      </c>
      <c r="S23" s="91" t="str">
        <f t="shared" si="0"/>
        <v>SEG</v>
      </c>
      <c r="T23" s="44"/>
      <c r="U23" s="89" t="str">
        <f>CONCATENATE("07","/",MONTH($I$16),"/",YEAR($I$16))</f>
        <v>07/7/2010</v>
      </c>
      <c r="V23" s="91">
        <f t="shared" si="2"/>
        <v>3</v>
      </c>
      <c r="W23" s="91" t="str">
        <f t="shared" si="3"/>
        <v>QUA</v>
      </c>
      <c r="X23" s="86"/>
      <c r="Y23" s="44"/>
      <c r="Z23" s="44"/>
      <c r="AA23" s="44"/>
      <c r="AB23" s="44"/>
      <c r="AC23" s="44"/>
      <c r="AD23" s="44"/>
    </row>
    <row r="24" spans="1:30" ht="12.75">
      <c r="A24" s="87">
        <f>$G$18+15</f>
        <v>20</v>
      </c>
      <c r="B24" s="82">
        <f>$G$18+16</f>
        <v>21</v>
      </c>
      <c r="C24" s="82">
        <f>$G$18+17</f>
        <v>22</v>
      </c>
      <c r="D24" s="82">
        <f>$G$18+18</f>
        <v>23</v>
      </c>
      <c r="E24" s="82">
        <f>$G$18+19</f>
        <v>24</v>
      </c>
      <c r="F24" s="82">
        <f>$G$18+20</f>
        <v>25</v>
      </c>
      <c r="G24" s="82">
        <f>$G$18+21</f>
        <v>26</v>
      </c>
      <c r="I24" s="87">
        <f>$O$18+15</f>
        <v>18</v>
      </c>
      <c r="J24" s="82">
        <f>$O$18+16</f>
        <v>19</v>
      </c>
      <c r="K24" s="82">
        <f>$O$18+17</f>
        <v>20</v>
      </c>
      <c r="L24" s="82">
        <f>$O$18+18</f>
        <v>21</v>
      </c>
      <c r="M24" s="82">
        <f>$O$18+19</f>
        <v>22</v>
      </c>
      <c r="N24" s="82">
        <f>$O$18+20</f>
        <v>23</v>
      </c>
      <c r="O24" s="82">
        <f>$O$18+21</f>
        <v>24</v>
      </c>
      <c r="P24" s="44"/>
      <c r="Q24" s="89" t="str">
        <f>CONCATENATE("08","/",MONTH($A$16),"/",YEAR($A$16))</f>
        <v>08/6/2010</v>
      </c>
      <c r="R24" s="91">
        <f t="shared" si="1"/>
        <v>2</v>
      </c>
      <c r="S24" s="91" t="str">
        <f t="shared" si="0"/>
        <v>TER</v>
      </c>
      <c r="T24" s="44"/>
      <c r="U24" s="89" t="str">
        <f>CONCATENATE("08","/",MONTH($I$16),"/",YEAR($I$16))</f>
        <v>08/7/2010</v>
      </c>
      <c r="V24" s="91">
        <f t="shared" si="2"/>
        <v>4</v>
      </c>
      <c r="W24" s="91" t="str">
        <f t="shared" si="3"/>
        <v>QUI</v>
      </c>
      <c r="X24" s="86"/>
      <c r="Y24" s="44"/>
      <c r="Z24" s="44"/>
      <c r="AA24" s="44"/>
      <c r="AB24" s="44"/>
      <c r="AC24" s="44"/>
      <c r="AD24" s="44"/>
    </row>
    <row r="25" spans="1:30" ht="12.75">
      <c r="A25" s="88" t="str">
        <f aca="true" t="shared" si="10" ref="A25:F25">IF(A24&gt;0," ","-")</f>
        <v> </v>
      </c>
      <c r="B25" s="82" t="str">
        <f t="shared" si="10"/>
        <v> </v>
      </c>
      <c r="C25" s="82" t="str">
        <f t="shared" si="10"/>
        <v> </v>
      </c>
      <c r="D25" s="82" t="str">
        <f t="shared" si="10"/>
        <v> </v>
      </c>
      <c r="E25" s="82" t="str">
        <f t="shared" si="10"/>
        <v> </v>
      </c>
      <c r="F25" s="82" t="str">
        <f t="shared" si="10"/>
        <v> </v>
      </c>
      <c r="G25" s="83" t="str">
        <f>M41</f>
        <v>acerto</v>
      </c>
      <c r="I25" s="88" t="str">
        <f aca="true" t="shared" si="11" ref="I25:O25">IF(I24&gt;0," ","-")</f>
        <v> </v>
      </c>
      <c r="J25" s="82" t="str">
        <f t="shared" si="11"/>
        <v> </v>
      </c>
      <c r="K25" s="82" t="str">
        <f t="shared" si="11"/>
        <v> </v>
      </c>
      <c r="L25" s="82" t="str">
        <f t="shared" si="11"/>
        <v> </v>
      </c>
      <c r="M25" s="82" t="str">
        <f t="shared" si="11"/>
        <v> </v>
      </c>
      <c r="N25" s="82" t="str">
        <f t="shared" si="11"/>
        <v> </v>
      </c>
      <c r="O25" s="83" t="str">
        <f t="shared" si="11"/>
        <v> </v>
      </c>
      <c r="P25" s="44"/>
      <c r="Q25" s="89" t="str">
        <f>CONCATENATE("09","/",MONTH($A$16),"/",YEAR($A$16))</f>
        <v>09/6/2010</v>
      </c>
      <c r="R25" s="91">
        <f t="shared" si="1"/>
        <v>3</v>
      </c>
      <c r="S25" s="91" t="str">
        <f t="shared" si="0"/>
        <v>QUA</v>
      </c>
      <c r="T25" s="44"/>
      <c r="U25" s="89" t="str">
        <f>CONCATENATE("09","/",MONTH($I$16),"/",YEAR($I$16))</f>
        <v>09/7/2010</v>
      </c>
      <c r="V25" s="91">
        <f t="shared" si="2"/>
        <v>5</v>
      </c>
      <c r="W25" s="91" t="str">
        <f t="shared" si="3"/>
        <v>SEX</v>
      </c>
      <c r="X25" s="86"/>
      <c r="Y25" s="44"/>
      <c r="Z25" s="44"/>
      <c r="AA25" s="44"/>
      <c r="AB25" s="44"/>
      <c r="AC25" s="44"/>
      <c r="AD25" s="44"/>
    </row>
    <row r="26" spans="1:30" ht="12.75">
      <c r="A26" s="87">
        <f>IF(ISERR(VLOOKUP((CONCATENATE($G$18+22,"/",MONTH($A$16),"/",YEAR($A$16))),Q38:S49,3)),0,$G$18+22)</f>
        <v>27</v>
      </c>
      <c r="B26" s="87">
        <f>IF(ISERR(VLOOKUP((CONCATENATE($G$18+23,"/",MONTH($A$16),"/",YEAR($A$16))),Q38:S49,3)),0,$G$18+23)</f>
        <v>28</v>
      </c>
      <c r="C26" s="87">
        <f>IF(ISERR(VLOOKUP((CONCATENATE($G$18+24,"/",MONTH($A$16),"/",YEAR($A$16))),Q38:S49,3)),0,$G$18+24)</f>
        <v>29</v>
      </c>
      <c r="D26" s="87">
        <f>IF(ISERR(VLOOKUP((CONCATENATE($G$18+25,"/",MONTH($A$16),"/",YEAR($A$16))),Q38:S49,3)),0,$G$18+25)</f>
        <v>30</v>
      </c>
      <c r="E26" s="87">
        <f>IF(ISERR(VLOOKUP((CONCATENATE($G$18+26,"/",MONTH($A$16),"/",YEAR($A$16))),Q38:S49,3)),0,$G$18+26)</f>
        <v>0</v>
      </c>
      <c r="F26" s="87">
        <f>IF(ISERR(VLOOKUP((CONCATENATE($G$18+27,"/",MONTH($A$16),"/",YEAR($A$16))),Q38:S49,3)),0,$G$18+27)</f>
        <v>0</v>
      </c>
      <c r="G26" s="87">
        <f>IF(ISERR(VLOOKUP((CONCATENATE($G$18+28,"/",MONTH($A$16),"/",YEAR($A$16))),Q38:S49,3)),0,$G$18+28)</f>
        <v>0</v>
      </c>
      <c r="I26" s="87">
        <f>IF(ISERR(VLOOKUP((CONCATENATE($O$18+22,"/",MONTH($I$16),"/",YEAR($I$16))),U38:W49,3)),0,$O$18+22)</f>
        <v>25</v>
      </c>
      <c r="J26" s="87">
        <f>IF(ISERR(VLOOKUP((CONCATENATE($O$18+23,"/",MONTH($I$16),"/",YEAR($I$16))),U38:W49,3)),0,$O$18+23)</f>
        <v>26</v>
      </c>
      <c r="K26" s="87">
        <f>IF(ISERR(VLOOKUP((CONCATENATE($O$18+24,"/",MONTH($I$16),"/",YEAR($I$16))),U38:W49,3)),0,$O$18+24)</f>
        <v>27</v>
      </c>
      <c r="L26" s="87">
        <f>IF(ISERR(VLOOKUP((CONCATENATE($O$18+25,"/",MONTH($I$16),"/",YEAR($I$16))),U38:W49,3)),0,$O$18+25)</f>
        <v>28</v>
      </c>
      <c r="M26" s="87">
        <f>IF(ISERR(VLOOKUP((CONCATENATE($O$18+26,"/",MONTH($I$16),"/",YEAR($I$16))),U38:W49,3)),0,$O$18+26)</f>
        <v>29</v>
      </c>
      <c r="N26" s="87">
        <f>IF(ISERR(VLOOKUP((CONCATENATE($O$18+27,"/",MONTH($I$16),"/",YEAR($I$16))),U38:W49,3)),0,$O$18+27)</f>
        <v>30</v>
      </c>
      <c r="O26" s="87">
        <f>IF(ISERR(VLOOKUP((CONCATENATE($O$18+28,"/",MONTH($I$16),"/",YEAR($I$16))),U38:W49,3)),0,$O$18+28)</f>
        <v>31</v>
      </c>
      <c r="P26" s="44"/>
      <c r="Q26" s="89" t="str">
        <f>CONCATENATE("10","/",MONTH($A$16),"/",YEAR($A$16))</f>
        <v>10/6/2010</v>
      </c>
      <c r="R26" s="91">
        <f t="shared" si="1"/>
        <v>4</v>
      </c>
      <c r="S26" s="91" t="str">
        <f t="shared" si="0"/>
        <v>QUI</v>
      </c>
      <c r="T26" s="44"/>
      <c r="U26" s="89" t="str">
        <f>CONCATENATE("10","/",MONTH($I$16),"/",YEAR($I$16))</f>
        <v>10/7/2010</v>
      </c>
      <c r="V26" s="91">
        <f t="shared" si="2"/>
        <v>6</v>
      </c>
      <c r="W26" s="91" t="str">
        <f t="shared" si="3"/>
        <v>SAB</v>
      </c>
      <c r="X26" s="86"/>
      <c r="Y26" s="44"/>
      <c r="Z26" s="44"/>
      <c r="AA26" s="44"/>
      <c r="AB26" s="44"/>
      <c r="AC26" s="44"/>
      <c r="AD26" s="44"/>
    </row>
    <row r="27" spans="1:30" ht="12.75">
      <c r="A27" s="88" t="str">
        <f>IF(A26&gt;0," ","-")</f>
        <v> </v>
      </c>
      <c r="B27" s="87" t="str">
        <f aca="true" t="shared" si="12" ref="B27:G27">IF(B26=0,0,"-")</f>
        <v>-</v>
      </c>
      <c r="C27" s="87" t="str">
        <f t="shared" si="12"/>
        <v>-</v>
      </c>
      <c r="D27" s="87" t="str">
        <f t="shared" si="12"/>
        <v>-</v>
      </c>
      <c r="E27" s="87">
        <f t="shared" si="12"/>
        <v>0</v>
      </c>
      <c r="F27" s="87">
        <f t="shared" si="12"/>
        <v>0</v>
      </c>
      <c r="G27" s="88">
        <f t="shared" si="12"/>
        <v>0</v>
      </c>
      <c r="I27" s="88" t="str">
        <f>IF(I26&gt;0," ","-")</f>
        <v> </v>
      </c>
      <c r="J27" s="87" t="str">
        <f aca="true" t="shared" si="13" ref="J27:O27">IF(J26=0,0,"-")</f>
        <v>-</v>
      </c>
      <c r="K27" s="87" t="str">
        <f t="shared" si="13"/>
        <v>-</v>
      </c>
      <c r="L27" s="87" t="str">
        <f t="shared" si="13"/>
        <v>-</v>
      </c>
      <c r="M27" s="87" t="str">
        <f t="shared" si="13"/>
        <v>-</v>
      </c>
      <c r="N27" s="87" t="str">
        <f t="shared" si="13"/>
        <v>-</v>
      </c>
      <c r="O27" s="88" t="str">
        <f t="shared" si="13"/>
        <v>-</v>
      </c>
      <c r="P27" s="44"/>
      <c r="Q27" s="89" t="str">
        <f>CONCATENATE("11","/",MONTH($A$16),"/",YEAR($A$16))</f>
        <v>11/6/2010</v>
      </c>
      <c r="R27" s="91">
        <f t="shared" si="1"/>
        <v>5</v>
      </c>
      <c r="S27" s="91" t="str">
        <f t="shared" si="0"/>
        <v>SEX</v>
      </c>
      <c r="T27" s="44"/>
      <c r="U27" s="89" t="str">
        <f>CONCATENATE("11","/",MONTH($I$16),"/",YEAR($I$16))</f>
        <v>11/7/2010</v>
      </c>
      <c r="V27" s="91">
        <f t="shared" si="2"/>
        <v>7</v>
      </c>
      <c r="W27" s="91" t="str">
        <f t="shared" si="3"/>
        <v>DOM</v>
      </c>
      <c r="X27" s="86"/>
      <c r="Y27" s="44"/>
      <c r="Z27" s="44"/>
      <c r="AA27" s="44"/>
      <c r="AB27" s="44"/>
      <c r="AC27" s="44"/>
      <c r="AD27" s="44"/>
    </row>
    <row r="28" spans="1:30" ht="12.75">
      <c r="A28" s="87">
        <f>IF(ISERR(VLOOKUP((CONCATENATE($G$18+29,"/",MONTH($A$16),"/",YEAR($A$16))),Q38:S49,3)),0,$G$18+29)</f>
        <v>0</v>
      </c>
      <c r="B28" s="87">
        <f>IF(ISERR(VLOOKUP((CONCATENATE($G$18+30,"/",MONTH($A$16),"/",YEAR($A$16))),Q38:S49,3)),0,$G$18+30)</f>
        <v>0</v>
      </c>
      <c r="C28" s="81"/>
      <c r="D28" s="81"/>
      <c r="E28" s="81"/>
      <c r="F28" s="81"/>
      <c r="G28" s="81"/>
      <c r="I28" s="87">
        <f>IF(ISERR(VLOOKUP((CONCATENATE($O$18+29,"/",MONTH($I$16),"/",YEAR($I$16))),U38:W49,3)),0,$O$18+29)</f>
        <v>0</v>
      </c>
      <c r="J28" s="81"/>
      <c r="K28" s="81"/>
      <c r="L28" s="81"/>
      <c r="M28" s="81"/>
      <c r="N28" s="81"/>
      <c r="O28" s="81"/>
      <c r="P28" s="44"/>
      <c r="Q28" s="89" t="str">
        <f>CONCATENATE("12","/",MONTH($A$16),"/",YEAR($A$16))</f>
        <v>12/6/2010</v>
      </c>
      <c r="R28" s="91">
        <f t="shared" si="1"/>
        <v>6</v>
      </c>
      <c r="S28" s="91" t="str">
        <f t="shared" si="0"/>
        <v>SAB</v>
      </c>
      <c r="T28" s="44"/>
      <c r="U28" s="89" t="str">
        <f>CONCATENATE("12","/",MONTH($I$16),"/",YEAR($I$16))</f>
        <v>12/7/2010</v>
      </c>
      <c r="V28" s="91">
        <f t="shared" si="2"/>
        <v>1</v>
      </c>
      <c r="W28" s="91" t="str">
        <f t="shared" si="3"/>
        <v>SEG</v>
      </c>
      <c r="X28" s="86"/>
      <c r="Y28" s="44"/>
      <c r="Z28" s="44"/>
      <c r="AA28" s="44"/>
      <c r="AB28" s="44"/>
      <c r="AC28" s="44"/>
      <c r="AD28" s="44"/>
    </row>
    <row r="29" spans="1:30" ht="12.75">
      <c r="A29" s="88">
        <f>IF(A28=0,0,"-")</f>
        <v>0</v>
      </c>
      <c r="B29" s="88">
        <f>IF(B28=0,0,"-")</f>
        <v>0</v>
      </c>
      <c r="I29" s="88">
        <f>IF(I28=0,0,"-")</f>
        <v>0</v>
      </c>
      <c r="J29" s="87">
        <f>IF(J28=0,0,"-")</f>
        <v>0</v>
      </c>
      <c r="K29" s="21"/>
      <c r="P29" s="44"/>
      <c r="Q29" s="89" t="str">
        <f>CONCATENATE("13","/",MONTH($A$16),"/",YEAR($A$16))</f>
        <v>13/6/2010</v>
      </c>
      <c r="R29" s="91">
        <f t="shared" si="1"/>
        <v>7</v>
      </c>
      <c r="S29" s="91" t="str">
        <f t="shared" si="0"/>
        <v>DOM</v>
      </c>
      <c r="T29" s="44"/>
      <c r="U29" s="89" t="str">
        <f>CONCATENATE("13","/",MONTH($I$16),"/",YEAR($I$16))</f>
        <v>13/7/2010</v>
      </c>
      <c r="V29" s="91">
        <f t="shared" si="2"/>
        <v>2</v>
      </c>
      <c r="W29" s="91" t="str">
        <f t="shared" si="3"/>
        <v>TER</v>
      </c>
      <c r="X29" s="86"/>
      <c r="Y29" s="44"/>
      <c r="Z29" s="44"/>
      <c r="AA29" s="44"/>
      <c r="AB29" s="44"/>
      <c r="AC29" s="44"/>
      <c r="AD29" s="44"/>
    </row>
    <row r="30" spans="1:30" ht="12.75">
      <c r="A30" s="311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3"/>
      <c r="P30" s="44"/>
      <c r="Q30" s="89" t="str">
        <f>CONCATENATE("14","/",MONTH($A$16),"/",YEAR($A$16))</f>
        <v>14/6/2010</v>
      </c>
      <c r="R30" s="91">
        <f t="shared" si="1"/>
        <v>1</v>
      </c>
      <c r="S30" s="91" t="str">
        <f>CONCATENATE(IF(R30=1,"SEG",""),IF(R30=2,"TER",""),IF(R30=3,"QUA",""),IF(R30=4,"QUI",""),IF(R30=5,"SEX",""),IF(R30=6,"SAB",""),IF(R30=7,"DOM",""))</f>
        <v>SEG</v>
      </c>
      <c r="T30" s="44"/>
      <c r="U30" s="89" t="str">
        <f>CONCATENATE("14","/",MONTH($I$16),"/",YEAR($I$16))</f>
        <v>14/7/2010</v>
      </c>
      <c r="V30" s="91">
        <f t="shared" si="2"/>
        <v>3</v>
      </c>
      <c r="W30" s="91" t="str">
        <f>CONCATENATE(IF(V30=1,"SEG",""),IF(V30=2,"TER",""),IF(V30=3,"QUA",""),IF(V30=4,"QUI",""),IF(V30=5,"SEX",""),IF(V30=6,"SAB",""),IF(V30=7,"DOM",""))</f>
        <v>QUA</v>
      </c>
      <c r="X30" s="86"/>
      <c r="Y30" s="44"/>
      <c r="Z30" s="44"/>
      <c r="AA30" s="44"/>
      <c r="AB30" s="44"/>
      <c r="AC30" s="44"/>
      <c r="AD30" s="44"/>
    </row>
    <row r="31" spans="16:30" ht="13.5" thickBot="1">
      <c r="P31" s="44"/>
      <c r="Q31" s="89" t="str">
        <f>CONCATENATE("15","/",MONTH($A$16),"/",YEAR($A$16))</f>
        <v>15/6/2010</v>
      </c>
      <c r="R31" s="91">
        <f t="shared" si="1"/>
        <v>2</v>
      </c>
      <c r="S31" s="91" t="str">
        <f aca="true" t="shared" si="14" ref="S31:S46">CONCATENATE(IF(R31=1,"SEG",""),IF(R31=2,"TER",""),IF(R31=3,"QUA",""),IF(R31=4,"QUI",""),IF(R31=5,"SEX",""),IF(R31=6,"SAB",""),IF(R31=7,"DOM",""))</f>
        <v>TER</v>
      </c>
      <c r="T31" s="44"/>
      <c r="U31" s="89" t="str">
        <f>CONCATENATE("15","/",MONTH($I$16),"/",YEAR($I$16))</f>
        <v>15/7/2010</v>
      </c>
      <c r="V31" s="91">
        <f t="shared" si="2"/>
        <v>4</v>
      </c>
      <c r="W31" s="91" t="str">
        <f aca="true" t="shared" si="15" ref="W31:W46">CONCATENATE(IF(V31=1,"SEG",""),IF(V31=2,"TER",""),IF(V31=3,"QUA",""),IF(V31=4,"QUI",""),IF(V31=5,"SEX",""),IF(V31=6,"SAB",""),IF(V31=7,"DOM",""))</f>
        <v>QUI</v>
      </c>
      <c r="X31" s="86"/>
      <c r="Y31" s="44"/>
      <c r="Z31" s="44"/>
      <c r="AA31" s="44"/>
      <c r="AB31" s="44"/>
      <c r="AC31" s="44"/>
      <c r="AD31" s="44"/>
    </row>
    <row r="32" spans="2:30" ht="13.5" thickBot="1">
      <c r="B32" s="108" t="s">
        <v>49</v>
      </c>
      <c r="C32" s="334" t="s">
        <v>50</v>
      </c>
      <c r="D32" s="335"/>
      <c r="E32" s="335"/>
      <c r="F32" s="335"/>
      <c r="G32" s="335"/>
      <c r="H32" s="335"/>
      <c r="I32" s="336"/>
      <c r="J32" s="109" t="s">
        <v>51</v>
      </c>
      <c r="K32" s="109" t="s">
        <v>52</v>
      </c>
      <c r="L32" s="109"/>
      <c r="M32" s="262" t="s">
        <v>57</v>
      </c>
      <c r="N32" s="108" t="s">
        <v>280</v>
      </c>
      <c r="O32" s="110" t="s">
        <v>281</v>
      </c>
      <c r="P32" s="44"/>
      <c r="Q32" s="89" t="str">
        <f>CONCATENATE("16","/",MONTH($A$16),"/",YEAR($A$16))</f>
        <v>16/6/2010</v>
      </c>
      <c r="R32" s="91">
        <f t="shared" si="1"/>
        <v>3</v>
      </c>
      <c r="S32" s="91" t="str">
        <f t="shared" si="14"/>
        <v>QUA</v>
      </c>
      <c r="T32" s="44"/>
      <c r="U32" s="89" t="str">
        <f>CONCATENATE("16","/",MONTH($I$16),"/",YEAR($I$16))</f>
        <v>16/7/2010</v>
      </c>
      <c r="V32" s="91">
        <f t="shared" si="2"/>
        <v>5</v>
      </c>
      <c r="W32" s="91" t="str">
        <f t="shared" si="15"/>
        <v>SEX</v>
      </c>
      <c r="X32" s="86"/>
      <c r="Y32" s="44"/>
      <c r="Z32" s="44"/>
      <c r="AA32" s="44"/>
      <c r="AB32" s="44"/>
      <c r="AC32" s="44"/>
      <c r="AD32" s="44"/>
    </row>
    <row r="33" spans="1:30" ht="12.75">
      <c r="A33" s="325" t="s">
        <v>80</v>
      </c>
      <c r="B33" s="106">
        <f>$E$14-28</f>
        <v>40334</v>
      </c>
      <c r="C33" s="308" t="s">
        <v>53</v>
      </c>
      <c r="D33" s="309"/>
      <c r="E33" s="309"/>
      <c r="F33" s="309"/>
      <c r="G33" s="309"/>
      <c r="H33" s="309"/>
      <c r="I33" s="310"/>
      <c r="J33" s="107" t="s">
        <v>46</v>
      </c>
      <c r="K33" s="130" t="s">
        <v>48</v>
      </c>
      <c r="L33" s="130"/>
      <c r="M33" s="263" t="s">
        <v>58</v>
      </c>
      <c r="N33" s="273" t="s">
        <v>277</v>
      </c>
      <c r="O33" s="276">
        <v>15</v>
      </c>
      <c r="P33" s="44"/>
      <c r="Q33" s="89" t="str">
        <f>CONCATENATE("17","/",MONTH($A$16),"/",YEAR($A$16))</f>
        <v>17/6/2010</v>
      </c>
      <c r="R33" s="91">
        <f t="shared" si="1"/>
        <v>4</v>
      </c>
      <c r="S33" s="91" t="str">
        <f t="shared" si="14"/>
        <v>QUI</v>
      </c>
      <c r="T33" s="44"/>
      <c r="U33" s="89" t="str">
        <f>CONCATENATE("17","/",MONTH($I$16),"/",YEAR($I$16))</f>
        <v>17/7/2010</v>
      </c>
      <c r="V33" s="91">
        <f t="shared" si="2"/>
        <v>6</v>
      </c>
      <c r="W33" s="91" t="str">
        <f t="shared" si="15"/>
        <v>SAB</v>
      </c>
      <c r="X33" s="86"/>
      <c r="Y33" s="44"/>
      <c r="Z33" s="44"/>
      <c r="AA33" s="44"/>
      <c r="AB33" s="44"/>
      <c r="AC33" s="44"/>
      <c r="AD33" s="44"/>
    </row>
    <row r="34" spans="1:30" ht="12.75">
      <c r="A34" s="326"/>
      <c r="B34" s="84">
        <f>$B$38-3</f>
        <v>40338</v>
      </c>
      <c r="C34" s="302" t="s">
        <v>54</v>
      </c>
      <c r="D34" s="303"/>
      <c r="E34" s="303"/>
      <c r="F34" s="303"/>
      <c r="G34" s="303"/>
      <c r="H34" s="303"/>
      <c r="I34" s="304"/>
      <c r="J34" s="85" t="s">
        <v>46</v>
      </c>
      <c r="K34" s="127" t="s">
        <v>48</v>
      </c>
      <c r="L34" s="127"/>
      <c r="M34" s="264"/>
      <c r="N34" s="271" t="s">
        <v>277</v>
      </c>
      <c r="O34" s="276">
        <v>1</v>
      </c>
      <c r="P34" s="44"/>
      <c r="Q34" s="89" t="str">
        <f>CONCATENATE("18","/",MONTH($A$16),"/",YEAR($A$16))</f>
        <v>18/6/2010</v>
      </c>
      <c r="R34" s="91">
        <f t="shared" si="1"/>
        <v>5</v>
      </c>
      <c r="S34" s="91" t="str">
        <f t="shared" si="14"/>
        <v>SEX</v>
      </c>
      <c r="T34" s="44"/>
      <c r="U34" s="89" t="str">
        <f>CONCATENATE("18","/",MONTH($I$16),"/",YEAR($I$16))</f>
        <v>18/7/2010</v>
      </c>
      <c r="V34" s="91">
        <f t="shared" si="2"/>
        <v>7</v>
      </c>
      <c r="W34" s="91" t="str">
        <f t="shared" si="15"/>
        <v>DOM</v>
      </c>
      <c r="X34" s="44"/>
      <c r="Y34" s="44"/>
      <c r="Z34" s="44"/>
      <c r="AA34" s="44"/>
      <c r="AB34" s="44"/>
      <c r="AC34" s="44"/>
      <c r="AD34" s="44"/>
    </row>
    <row r="35" spans="1:30" ht="12.75" customHeight="1">
      <c r="A35" s="326"/>
      <c r="B35" s="84">
        <f>$B$38-3</f>
        <v>40338</v>
      </c>
      <c r="C35" s="302" t="s">
        <v>97</v>
      </c>
      <c r="D35" s="303"/>
      <c r="E35" s="303"/>
      <c r="F35" s="303"/>
      <c r="G35" s="303"/>
      <c r="H35" s="303"/>
      <c r="I35" s="304"/>
      <c r="J35" s="85" t="s">
        <v>46</v>
      </c>
      <c r="K35" s="127" t="s">
        <v>48</v>
      </c>
      <c r="L35" s="127"/>
      <c r="M35" s="264"/>
      <c r="N35" s="271" t="s">
        <v>277</v>
      </c>
      <c r="O35" s="276">
        <v>20</v>
      </c>
      <c r="P35" s="44"/>
      <c r="Q35" s="89" t="str">
        <f>CONCATENATE("19","/",MONTH($A$16),"/",YEAR($A$16))</f>
        <v>19/6/2010</v>
      </c>
      <c r="R35" s="91">
        <f t="shared" si="1"/>
        <v>6</v>
      </c>
      <c r="S35" s="91" t="str">
        <f t="shared" si="14"/>
        <v>SAB</v>
      </c>
      <c r="T35" s="44"/>
      <c r="U35" s="89" t="str">
        <f>CONCATENATE("19","/",MONTH($I$16),"/",YEAR($I$16))</f>
        <v>19/7/2010</v>
      </c>
      <c r="V35" s="91">
        <f t="shared" si="2"/>
        <v>1</v>
      </c>
      <c r="W35" s="91" t="str">
        <f t="shared" si="15"/>
        <v>SEG</v>
      </c>
      <c r="X35" s="44"/>
      <c r="Y35" s="44"/>
      <c r="Z35" s="44"/>
      <c r="AA35" s="44"/>
      <c r="AB35" s="44"/>
      <c r="AC35" s="44"/>
      <c r="AD35" s="44"/>
    </row>
    <row r="36" spans="1:30" ht="12.75">
      <c r="A36" s="326"/>
      <c r="B36" s="84">
        <f>$B$38-3</f>
        <v>40338</v>
      </c>
      <c r="C36" s="302" t="s">
        <v>55</v>
      </c>
      <c r="D36" s="303"/>
      <c r="E36" s="303"/>
      <c r="F36" s="303"/>
      <c r="G36" s="303"/>
      <c r="H36" s="303"/>
      <c r="I36" s="304"/>
      <c r="J36" s="85" t="s">
        <v>46</v>
      </c>
      <c r="K36" s="127" t="s">
        <v>48</v>
      </c>
      <c r="L36" s="127"/>
      <c r="M36" s="264"/>
      <c r="N36" s="271" t="s">
        <v>277</v>
      </c>
      <c r="O36" s="276">
        <v>60</v>
      </c>
      <c r="P36" s="44"/>
      <c r="Q36" s="89" t="str">
        <f>CONCATENATE("20","/",MONTH($A$16),"/",YEAR($A$16))</f>
        <v>20/6/2010</v>
      </c>
      <c r="R36" s="91">
        <f t="shared" si="1"/>
        <v>7</v>
      </c>
      <c r="S36" s="91" t="str">
        <f t="shared" si="14"/>
        <v>DOM</v>
      </c>
      <c r="T36" s="44"/>
      <c r="U36" s="89" t="str">
        <f>CONCATENATE("20","/",MONTH($I$16),"/",YEAR($I$16))</f>
        <v>20/7/2010</v>
      </c>
      <c r="V36" s="91">
        <f t="shared" si="2"/>
        <v>2</v>
      </c>
      <c r="W36" s="91" t="str">
        <f t="shared" si="15"/>
        <v>TER</v>
      </c>
      <c r="X36" s="44"/>
      <c r="Y36" s="44"/>
      <c r="Z36" s="44"/>
      <c r="AA36" s="44"/>
      <c r="AB36" s="44"/>
      <c r="AC36" s="44"/>
      <c r="AD36" s="44"/>
    </row>
    <row r="37" spans="1:30" ht="12.75">
      <c r="A37" s="326"/>
      <c r="B37" s="84">
        <f>$B$38-3</f>
        <v>40338</v>
      </c>
      <c r="C37" s="302" t="s">
        <v>60</v>
      </c>
      <c r="D37" s="303"/>
      <c r="E37" s="303"/>
      <c r="F37" s="303"/>
      <c r="G37" s="303"/>
      <c r="H37" s="303"/>
      <c r="I37" s="304"/>
      <c r="J37" s="85" t="s">
        <v>46</v>
      </c>
      <c r="K37" s="127" t="s">
        <v>48</v>
      </c>
      <c r="L37" s="127"/>
      <c r="M37" s="264"/>
      <c r="N37" s="271" t="s">
        <v>277</v>
      </c>
      <c r="O37" s="276">
        <v>30</v>
      </c>
      <c r="P37" s="44"/>
      <c r="Q37" s="89" t="str">
        <f>CONCATENATE("21","/",MONTH($A$16),"/",YEAR($A$16))</f>
        <v>21/6/2010</v>
      </c>
      <c r="R37" s="91">
        <f t="shared" si="1"/>
        <v>1</v>
      </c>
      <c r="S37" s="91" t="str">
        <f t="shared" si="14"/>
        <v>SEG</v>
      </c>
      <c r="T37" s="44"/>
      <c r="U37" s="89" t="str">
        <f>CONCATENATE("21","/",MONTH($I$16),"/",YEAR($I$16))</f>
        <v>21/7/2010</v>
      </c>
      <c r="V37" s="91">
        <f t="shared" si="2"/>
        <v>3</v>
      </c>
      <c r="W37" s="91" t="str">
        <f t="shared" si="15"/>
        <v>QUA</v>
      </c>
      <c r="X37" s="44"/>
      <c r="Y37" s="44"/>
      <c r="Z37" s="44"/>
      <c r="AA37" s="44"/>
      <c r="AB37" s="44"/>
      <c r="AC37" s="44"/>
      <c r="AD37" s="44"/>
    </row>
    <row r="38" spans="1:30" ht="12.75">
      <c r="A38" s="326"/>
      <c r="B38" s="92">
        <f>$E$14-21</f>
        <v>40341</v>
      </c>
      <c r="C38" s="331" t="s">
        <v>44</v>
      </c>
      <c r="D38" s="332"/>
      <c r="E38" s="332"/>
      <c r="F38" s="332"/>
      <c r="G38" s="332"/>
      <c r="H38" s="332"/>
      <c r="I38" s="333"/>
      <c r="J38" s="261" t="s">
        <v>47</v>
      </c>
      <c r="K38" s="129" t="s">
        <v>48</v>
      </c>
      <c r="L38" s="129"/>
      <c r="M38" s="265" t="s">
        <v>42</v>
      </c>
      <c r="N38" s="271" t="s">
        <v>282</v>
      </c>
      <c r="O38" s="276">
        <v>30</v>
      </c>
      <c r="P38" s="44"/>
      <c r="Q38" s="89" t="str">
        <f>CONCATENATE("22","/",MONTH($A$16),"/",YEAR($A$16))</f>
        <v>22/6/2010</v>
      </c>
      <c r="R38" s="91">
        <f t="shared" si="1"/>
        <v>2</v>
      </c>
      <c r="S38" s="91" t="str">
        <f t="shared" si="14"/>
        <v>TER</v>
      </c>
      <c r="T38" s="44"/>
      <c r="U38" s="89" t="str">
        <f>CONCATENATE("22","/",MONTH($I$16),"/",YEAR($I$16))</f>
        <v>22/7/2010</v>
      </c>
      <c r="V38" s="91">
        <f t="shared" si="2"/>
        <v>4</v>
      </c>
      <c r="W38" s="91" t="str">
        <f t="shared" si="15"/>
        <v>QUI</v>
      </c>
      <c r="X38" s="44"/>
      <c r="Y38" s="44"/>
      <c r="Z38" s="44"/>
      <c r="AA38" s="44"/>
      <c r="AB38" s="44"/>
      <c r="AC38" s="44"/>
      <c r="AD38" s="44"/>
    </row>
    <row r="39" spans="1:30" ht="12.75">
      <c r="A39" s="326"/>
      <c r="B39" s="84">
        <f>$E$14-12</f>
        <v>40350</v>
      </c>
      <c r="C39" s="302" t="s">
        <v>56</v>
      </c>
      <c r="D39" s="303"/>
      <c r="E39" s="303"/>
      <c r="F39" s="303"/>
      <c r="G39" s="303"/>
      <c r="H39" s="303"/>
      <c r="I39" s="304"/>
      <c r="J39" s="85" t="s">
        <v>46</v>
      </c>
      <c r="K39" s="127" t="s">
        <v>48</v>
      </c>
      <c r="L39" s="127"/>
      <c r="M39" s="264"/>
      <c r="N39" s="271"/>
      <c r="O39" s="276"/>
      <c r="P39" s="44"/>
      <c r="Q39" s="89" t="str">
        <f>CONCATENATE("23","/",MONTH($A$16),"/",YEAR($A$16))</f>
        <v>23/6/2010</v>
      </c>
      <c r="R39" s="91">
        <f t="shared" si="1"/>
        <v>3</v>
      </c>
      <c r="S39" s="91" t="str">
        <f t="shared" si="14"/>
        <v>QUA</v>
      </c>
      <c r="T39" s="44"/>
      <c r="U39" s="89" t="str">
        <f>CONCATENATE("23","/",MONTH($I$16),"/",YEAR($I$16))</f>
        <v>23/7/2010</v>
      </c>
      <c r="V39" s="91">
        <f t="shared" si="2"/>
        <v>5</v>
      </c>
      <c r="W39" s="91" t="str">
        <f t="shared" si="15"/>
        <v>SEX</v>
      </c>
      <c r="X39" s="44"/>
      <c r="Y39" s="44"/>
      <c r="Z39" s="44"/>
      <c r="AA39" s="44"/>
      <c r="AB39" s="44"/>
      <c r="AC39" s="44"/>
      <c r="AD39" s="44"/>
    </row>
    <row r="40" spans="1:30" ht="12.75">
      <c r="A40" s="326"/>
      <c r="B40" s="84">
        <f>$E$14-7</f>
        <v>40355</v>
      </c>
      <c r="C40" s="302" t="s">
        <v>79</v>
      </c>
      <c r="D40" s="303"/>
      <c r="E40" s="303"/>
      <c r="F40" s="303"/>
      <c r="G40" s="303"/>
      <c r="H40" s="303"/>
      <c r="I40" s="304"/>
      <c r="J40" s="85"/>
      <c r="K40" s="127"/>
      <c r="L40" s="127"/>
      <c r="M40" s="266"/>
      <c r="N40" s="271"/>
      <c r="O40" s="276"/>
      <c r="P40" s="44"/>
      <c r="Q40" s="89" t="str">
        <f>CONCATENATE("24","/",MONTH($A$16),"/",YEAR($A$16))</f>
        <v>24/6/2010</v>
      </c>
      <c r="R40" s="91">
        <f t="shared" si="1"/>
        <v>4</v>
      </c>
      <c r="S40" s="91" t="str">
        <f t="shared" si="14"/>
        <v>QUI</v>
      </c>
      <c r="T40" s="44"/>
      <c r="U40" s="89" t="str">
        <f>CONCATENATE("24","/",MONTH($I$16),"/",YEAR($I$16))</f>
        <v>24/7/2010</v>
      </c>
      <c r="V40" s="91">
        <f t="shared" si="2"/>
        <v>6</v>
      </c>
      <c r="W40" s="91" t="str">
        <f t="shared" si="15"/>
        <v>SAB</v>
      </c>
      <c r="X40" s="44"/>
      <c r="Y40" s="44"/>
      <c r="Z40" s="44"/>
      <c r="AA40" s="44"/>
      <c r="AB40" s="44"/>
      <c r="AC40" s="44"/>
      <c r="AD40" s="44"/>
    </row>
    <row r="41" spans="1:30" ht="12.75">
      <c r="A41" s="326"/>
      <c r="B41" s="92">
        <f>$E$14-7</f>
        <v>40355</v>
      </c>
      <c r="C41" s="331" t="s">
        <v>45</v>
      </c>
      <c r="D41" s="332"/>
      <c r="E41" s="332"/>
      <c r="F41" s="332"/>
      <c r="G41" s="332"/>
      <c r="H41" s="332"/>
      <c r="I41" s="333"/>
      <c r="J41" s="261" t="s">
        <v>47</v>
      </c>
      <c r="K41" s="129"/>
      <c r="L41" s="129"/>
      <c r="M41" s="265" t="s">
        <v>41</v>
      </c>
      <c r="N41" s="271"/>
      <c r="O41" s="276"/>
      <c r="P41" s="44"/>
      <c r="Q41" s="89" t="str">
        <f>CONCATENATE("25","/",MONTH($A$16),"/",YEAR($A$16))</f>
        <v>25/6/2010</v>
      </c>
      <c r="R41" s="91">
        <f t="shared" si="1"/>
        <v>5</v>
      </c>
      <c r="S41" s="91" t="str">
        <f t="shared" si="14"/>
        <v>SEX</v>
      </c>
      <c r="T41" s="44"/>
      <c r="U41" s="89" t="str">
        <f>CONCATENATE("25","/",MONTH($I$16),"/",YEAR($I$16))</f>
        <v>25/7/2010</v>
      </c>
      <c r="V41" s="91">
        <f t="shared" si="2"/>
        <v>7</v>
      </c>
      <c r="W41" s="91" t="str">
        <f t="shared" si="15"/>
        <v>DOM</v>
      </c>
      <c r="X41" s="44"/>
      <c r="Y41" s="44"/>
      <c r="Z41" s="44"/>
      <c r="AA41" s="44"/>
      <c r="AB41" s="44"/>
      <c r="AC41" s="44"/>
      <c r="AD41" s="44"/>
    </row>
    <row r="42" spans="1:30" ht="12.75">
      <c r="A42" s="326"/>
      <c r="B42" s="84">
        <f>$E$14-2</f>
        <v>40360</v>
      </c>
      <c r="C42" s="314" t="s">
        <v>278</v>
      </c>
      <c r="D42" s="303"/>
      <c r="E42" s="303"/>
      <c r="F42" s="303"/>
      <c r="G42" s="303"/>
      <c r="H42" s="303"/>
      <c r="I42" s="304"/>
      <c r="J42" s="85" t="s">
        <v>279</v>
      </c>
      <c r="K42" s="127"/>
      <c r="L42" s="127"/>
      <c r="M42" s="264"/>
      <c r="N42" s="271" t="s">
        <v>283</v>
      </c>
      <c r="O42" s="276">
        <v>120</v>
      </c>
      <c r="P42" s="44"/>
      <c r="Q42" s="89"/>
      <c r="R42" s="91"/>
      <c r="S42" s="91"/>
      <c r="T42" s="44"/>
      <c r="U42" s="89"/>
      <c r="V42" s="91"/>
      <c r="W42" s="91"/>
      <c r="X42" s="44"/>
      <c r="Y42" s="44"/>
      <c r="Z42" s="44"/>
      <c r="AA42" s="44"/>
      <c r="AB42" s="44"/>
      <c r="AC42" s="44"/>
      <c r="AD42" s="44"/>
    </row>
    <row r="43" spans="1:30" ht="13.5" thickBot="1">
      <c r="A43" s="327"/>
      <c r="B43" s="104">
        <f>$E$14-2</f>
        <v>40360</v>
      </c>
      <c r="C43" s="305" t="s">
        <v>276</v>
      </c>
      <c r="D43" s="306"/>
      <c r="E43" s="306"/>
      <c r="F43" s="306"/>
      <c r="G43" s="306"/>
      <c r="H43" s="306"/>
      <c r="I43" s="307"/>
      <c r="J43" s="105" t="s">
        <v>46</v>
      </c>
      <c r="K43" s="128"/>
      <c r="L43" s="128"/>
      <c r="M43" s="267"/>
      <c r="N43" s="274" t="s">
        <v>277</v>
      </c>
      <c r="O43" s="277">
        <v>40</v>
      </c>
      <c r="P43" s="44"/>
      <c r="Q43" s="89" t="str">
        <f>CONCATENATE("26","/",MONTH($A$16),"/",YEAR($A$16))</f>
        <v>26/6/2010</v>
      </c>
      <c r="R43" s="91">
        <f t="shared" si="1"/>
        <v>6</v>
      </c>
      <c r="S43" s="91" t="str">
        <f t="shared" si="14"/>
        <v>SAB</v>
      </c>
      <c r="T43" s="44"/>
      <c r="U43" s="89" t="str">
        <f>CONCATENATE("26","/",MONTH($I$16),"/",YEAR($I$16))</f>
        <v>26/7/2010</v>
      </c>
      <c r="V43" s="91">
        <f t="shared" si="2"/>
        <v>1</v>
      </c>
      <c r="W43" s="91" t="str">
        <f t="shared" si="15"/>
        <v>SEG</v>
      </c>
      <c r="X43" s="44"/>
      <c r="Y43" s="44"/>
      <c r="Z43" s="44"/>
      <c r="AA43" s="44"/>
      <c r="AB43" s="44"/>
      <c r="AC43" s="44"/>
      <c r="AD43" s="44"/>
    </row>
    <row r="44" spans="1:30" ht="12.75">
      <c r="A44" s="322" t="s">
        <v>81</v>
      </c>
      <c r="B44" s="106">
        <f>$E$14</f>
        <v>40362</v>
      </c>
      <c r="C44" s="308" t="s">
        <v>40</v>
      </c>
      <c r="D44" s="309"/>
      <c r="E44" s="309"/>
      <c r="F44" s="309"/>
      <c r="G44" s="309"/>
      <c r="H44" s="309"/>
      <c r="I44" s="310"/>
      <c r="J44" s="107" t="s">
        <v>59</v>
      </c>
      <c r="K44" s="130"/>
      <c r="L44" s="130"/>
      <c r="M44" s="268" t="s">
        <v>168</v>
      </c>
      <c r="N44" s="275"/>
      <c r="O44" s="278"/>
      <c r="P44" s="44"/>
      <c r="Q44" s="89" t="str">
        <f>CONCATENATE("27","/",MONTH($A$16),"/",YEAR($A$16))</f>
        <v>27/6/2010</v>
      </c>
      <c r="R44" s="91">
        <f t="shared" si="1"/>
        <v>7</v>
      </c>
      <c r="S44" s="91" t="str">
        <f t="shared" si="14"/>
        <v>DOM</v>
      </c>
      <c r="T44" s="44"/>
      <c r="U44" s="89" t="str">
        <f>CONCATENATE("27","/",MONTH($I$16),"/",YEAR($I$16))</f>
        <v>27/7/2010</v>
      </c>
      <c r="V44" s="91">
        <f t="shared" si="2"/>
        <v>2</v>
      </c>
      <c r="W44" s="91" t="str">
        <f t="shared" si="15"/>
        <v>TER</v>
      </c>
      <c r="X44" s="44"/>
      <c r="Y44" s="44"/>
      <c r="Z44" s="44"/>
      <c r="AA44" s="44"/>
      <c r="AB44" s="44"/>
      <c r="AC44" s="44"/>
      <c r="AD44" s="44"/>
    </row>
    <row r="45" spans="1:30" ht="12.75">
      <c r="A45" s="323"/>
      <c r="B45" s="84">
        <f>$E$14</f>
        <v>40362</v>
      </c>
      <c r="C45" s="302" t="s">
        <v>78</v>
      </c>
      <c r="D45" s="303"/>
      <c r="E45" s="303"/>
      <c r="F45" s="303"/>
      <c r="G45" s="303"/>
      <c r="H45" s="303"/>
      <c r="I45" s="304"/>
      <c r="J45" s="85"/>
      <c r="K45" s="127"/>
      <c r="L45" s="127"/>
      <c r="M45" s="266"/>
      <c r="N45" s="271"/>
      <c r="O45" s="276"/>
      <c r="P45" s="44"/>
      <c r="Q45" s="89" t="str">
        <f>CONCATENATE("28","/",MONTH($A$16),"/",YEAR($A$16))</f>
        <v>28/6/2010</v>
      </c>
      <c r="R45" s="91">
        <f t="shared" si="1"/>
        <v>1</v>
      </c>
      <c r="S45" s="91" t="str">
        <f t="shared" si="14"/>
        <v>SEG</v>
      </c>
      <c r="T45" s="44"/>
      <c r="U45" s="89" t="str">
        <f>CONCATENATE("28","/",MONTH($I$16),"/",YEAR($I$16))</f>
        <v>28/7/2010</v>
      </c>
      <c r="V45" s="91">
        <f t="shared" si="2"/>
        <v>3</v>
      </c>
      <c r="W45" s="91" t="str">
        <f t="shared" si="15"/>
        <v>QUA</v>
      </c>
      <c r="X45" s="44"/>
      <c r="Y45" s="44"/>
      <c r="Z45" s="44"/>
      <c r="AA45" s="44"/>
      <c r="AB45" s="44"/>
      <c r="AC45" s="44"/>
      <c r="AD45" s="44"/>
    </row>
    <row r="46" spans="1:30" ht="12.75" customHeight="1">
      <c r="A46" s="323"/>
      <c r="B46" s="84">
        <f>$E$14</f>
        <v>40362</v>
      </c>
      <c r="C46" s="302" t="s">
        <v>98</v>
      </c>
      <c r="D46" s="303"/>
      <c r="E46" s="303"/>
      <c r="F46" s="303"/>
      <c r="G46" s="303"/>
      <c r="H46" s="303"/>
      <c r="I46" s="304"/>
      <c r="J46" s="85"/>
      <c r="K46" s="127"/>
      <c r="L46" s="127"/>
      <c r="M46" s="266"/>
      <c r="N46" s="271"/>
      <c r="O46" s="276"/>
      <c r="P46" s="44"/>
      <c r="Q46" s="89" t="str">
        <f>CONCATENATE("29","/",MONTH($A$16),"/",YEAR($A$16))</f>
        <v>29/6/2010</v>
      </c>
      <c r="R46" s="91">
        <f t="shared" si="1"/>
        <v>2</v>
      </c>
      <c r="S46" s="91" t="str">
        <f t="shared" si="14"/>
        <v>TER</v>
      </c>
      <c r="T46" s="44"/>
      <c r="U46" s="89" t="str">
        <f>CONCATENATE("29","/",MONTH($I$16),"/",YEAR($I$16))</f>
        <v>29/7/2010</v>
      </c>
      <c r="V46" s="91">
        <f t="shared" si="2"/>
        <v>4</v>
      </c>
      <c r="W46" s="91" t="str">
        <f t="shared" si="15"/>
        <v>QUI</v>
      </c>
      <c r="X46" s="44"/>
      <c r="Y46" s="44"/>
      <c r="Z46" s="44"/>
      <c r="AA46" s="44"/>
      <c r="AB46" s="44"/>
      <c r="AC46" s="44"/>
      <c r="AD46" s="44"/>
    </row>
    <row r="47" spans="1:30" ht="12.75">
      <c r="A47" s="323"/>
      <c r="B47" s="84"/>
      <c r="C47" s="302"/>
      <c r="D47" s="303"/>
      <c r="E47" s="303"/>
      <c r="F47" s="303"/>
      <c r="G47" s="303"/>
      <c r="H47" s="303"/>
      <c r="I47" s="304"/>
      <c r="J47" s="85"/>
      <c r="K47" s="127"/>
      <c r="L47" s="127"/>
      <c r="M47" s="266"/>
      <c r="N47" s="271"/>
      <c r="O47" s="276"/>
      <c r="P47" s="44"/>
      <c r="Q47" s="89" t="str">
        <f>CONCATENATE("30","/",MONTH($A$16),"/",YEAR($A$16))</f>
        <v>30/6/2010</v>
      </c>
      <c r="R47" s="91">
        <f t="shared" si="1"/>
        <v>3</v>
      </c>
      <c r="S47" s="91" t="str">
        <f>CONCATENATE(IF(R47=1,"SEG",""),IF(R47=2,"TER",""),IF(R47=3,"QUA",""),IF(R47=4,"QUI",""),IF(R47=5,"SEX",""),IF(R47=6,"SAB",""),IF(R47=7,"DOM",""))</f>
        <v>QUA</v>
      </c>
      <c r="T47" s="44"/>
      <c r="U47" s="89" t="str">
        <f>CONCATENATE("30","/",MONTH($I$16),"/",YEAR($I$16))</f>
        <v>30/7/2010</v>
      </c>
      <c r="V47" s="91">
        <f t="shared" si="2"/>
        <v>5</v>
      </c>
      <c r="W47" s="91" t="str">
        <f>CONCATENATE(IF(V47=1,"SEG",""),IF(V47=2,"TER",""),IF(V47=3,"QUA",""),IF(V47=4,"QUI",""),IF(V47=5,"SEX",""),IF(V47=6,"SAB",""),IF(V47=7,"DOM",""))</f>
        <v>SEX</v>
      </c>
      <c r="X47" s="44"/>
      <c r="Y47" s="44"/>
      <c r="Z47" s="44"/>
      <c r="AA47" s="44"/>
      <c r="AB47" s="44"/>
      <c r="AC47" s="44"/>
      <c r="AD47" s="44"/>
    </row>
    <row r="48" spans="1:30" ht="13.5" thickBot="1">
      <c r="A48" s="324"/>
      <c r="B48" s="104">
        <f>$E$14</f>
        <v>40362</v>
      </c>
      <c r="C48" s="318" t="s">
        <v>61</v>
      </c>
      <c r="D48" s="306"/>
      <c r="E48" s="306"/>
      <c r="F48" s="306"/>
      <c r="G48" s="306"/>
      <c r="H48" s="306"/>
      <c r="I48" s="307"/>
      <c r="J48" s="105" t="s">
        <v>47</v>
      </c>
      <c r="K48" s="128"/>
      <c r="L48" s="128"/>
      <c r="M48" s="269"/>
      <c r="N48" s="272"/>
      <c r="O48" s="279"/>
      <c r="P48" s="44"/>
      <c r="Q48" s="89" t="str">
        <f>CONCATENATE("31","/",MONTH($A$16),"/",YEAR($A$16))</f>
        <v>31/6/2010</v>
      </c>
      <c r="R48" s="91" t="e">
        <f t="shared" si="1"/>
        <v>#VALUE!</v>
      </c>
      <c r="S48" s="91" t="e">
        <f>CONCATENATE(IF(R48=1,"SEG",""),IF(R48=2,"TER",""),IF(R48=3,"QUA",""),IF(R48=4,"QUI",""),IF(R48=5,"SEX",""),IF(R48=6,"SAB",""),IF(R48=7,"DOM",""))</f>
        <v>#VALUE!</v>
      </c>
      <c r="T48" s="44"/>
      <c r="U48" s="89" t="str">
        <f>CONCATENATE("31","/",MONTH($I$16),"/",YEAR($I$16))</f>
        <v>31/7/2010</v>
      </c>
      <c r="V48" s="91">
        <f t="shared" si="2"/>
        <v>6</v>
      </c>
      <c r="W48" s="91" t="str">
        <f>CONCATENATE(IF(V48=1,"SEG",""),IF(V48=2,"TER",""),IF(V48=3,"QUA",""),IF(V48=4,"QUI",""),IF(V48=5,"SEX",""),IF(V48=6,"SAB",""),IF(V48=7,"DOM",""))</f>
        <v>SAB</v>
      </c>
      <c r="X48" s="44"/>
      <c r="Y48" s="44"/>
      <c r="Z48" s="44"/>
      <c r="AA48" s="44"/>
      <c r="AB48" s="44"/>
      <c r="AC48" s="44"/>
      <c r="AD48" s="44"/>
    </row>
    <row r="49" spans="1:30" ht="12.75">
      <c r="A49" s="319" t="s">
        <v>82</v>
      </c>
      <c r="B49" s="102">
        <f>$E$14+0</f>
        <v>40362</v>
      </c>
      <c r="C49" s="315" t="s">
        <v>83</v>
      </c>
      <c r="D49" s="316"/>
      <c r="E49" s="316"/>
      <c r="F49" s="316"/>
      <c r="G49" s="316"/>
      <c r="H49" s="316"/>
      <c r="I49" s="317"/>
      <c r="J49" s="103" t="s">
        <v>99</v>
      </c>
      <c r="K49" s="125"/>
      <c r="L49" s="125"/>
      <c r="M49" s="270"/>
      <c r="N49" s="275"/>
      <c r="O49" s="278"/>
      <c r="P49" s="44"/>
      <c r="Q49" s="89" t="str">
        <f>CONCATENATE("32","/",MONTH($A$16),"/",YEAR($A$16))</f>
        <v>32/6/2010</v>
      </c>
      <c r="R49" s="91" t="e">
        <f t="shared" si="1"/>
        <v>#VALUE!</v>
      </c>
      <c r="S49" s="91" t="e">
        <f>CONCATENATE(IF(R49=1,"SEG",""),IF(R49=2,"TER",""),IF(R49=3,"QUA",""),IF(R49=4,"QUI",""),IF(R49=5,"SEX",""),IF(R49=6,"SAB",""),IF(R49=7,"DOM",""))</f>
        <v>#VALUE!</v>
      </c>
      <c r="T49" s="44"/>
      <c r="U49" s="89" t="str">
        <f>CONCATENATE("32","/",MONTH($I$16),"/",YEAR($I$16))</f>
        <v>32/7/2010</v>
      </c>
      <c r="V49" s="91" t="e">
        <f t="shared" si="2"/>
        <v>#VALUE!</v>
      </c>
      <c r="W49" s="91" t="e">
        <f>CONCATENATE(IF(V49=1,"SEG",""),IF(V49=2,"TER",""),IF(V49=3,"QUA",""),IF(V49=4,"QUI",""),IF(V49=5,"SEX",""),IF(V49=6,"SAB",""),IF(V49=7,"DOM",""))</f>
        <v>#VALUE!</v>
      </c>
      <c r="X49" s="44"/>
      <c r="Y49" s="44"/>
      <c r="Z49" s="44"/>
      <c r="AA49" s="44"/>
      <c r="AB49" s="44"/>
      <c r="AC49" s="44"/>
      <c r="AD49" s="44"/>
    </row>
    <row r="50" spans="1:30" ht="12.75" customHeight="1">
      <c r="A50" s="320"/>
      <c r="B50" s="84">
        <f>$E$14+3</f>
        <v>40365</v>
      </c>
      <c r="C50" s="302" t="s">
        <v>61</v>
      </c>
      <c r="D50" s="303"/>
      <c r="E50" s="303"/>
      <c r="F50" s="303"/>
      <c r="G50" s="303"/>
      <c r="H50" s="303"/>
      <c r="I50" s="304"/>
      <c r="J50" s="85" t="s">
        <v>47</v>
      </c>
      <c r="K50" s="127"/>
      <c r="L50" s="127"/>
      <c r="M50" s="266"/>
      <c r="N50" s="271"/>
      <c r="O50" s="276"/>
      <c r="P50" s="44"/>
      <c r="Q50" s="44"/>
      <c r="R50" s="45"/>
      <c r="S50" s="45"/>
      <c r="T50" s="44"/>
      <c r="U50" s="44"/>
      <c r="V50" s="45"/>
      <c r="W50" s="45"/>
      <c r="X50" s="44"/>
      <c r="Y50" s="44"/>
      <c r="Z50" s="44"/>
      <c r="AA50" s="44"/>
      <c r="AB50" s="44"/>
      <c r="AC50" s="44"/>
      <c r="AD50" s="44"/>
    </row>
    <row r="51" spans="1:30" ht="12.75" customHeight="1">
      <c r="A51" s="320"/>
      <c r="B51" s="92">
        <f>$B$44+7</f>
        <v>40369</v>
      </c>
      <c r="C51" s="331" t="s">
        <v>62</v>
      </c>
      <c r="D51" s="332"/>
      <c r="E51" s="332"/>
      <c r="F51" s="332"/>
      <c r="G51" s="332"/>
      <c r="H51" s="332"/>
      <c r="I51" s="333"/>
      <c r="J51" s="261" t="s">
        <v>47</v>
      </c>
      <c r="K51" s="129"/>
      <c r="L51" s="129"/>
      <c r="M51" s="265" t="s">
        <v>43</v>
      </c>
      <c r="N51" s="271"/>
      <c r="O51" s="276"/>
      <c r="P51" s="44"/>
      <c r="Q51" s="44"/>
      <c r="R51" s="45"/>
      <c r="S51" s="45"/>
      <c r="T51" s="44"/>
      <c r="U51" s="44"/>
      <c r="V51" s="45"/>
      <c r="W51" s="45"/>
      <c r="X51" s="44"/>
      <c r="Y51" s="44"/>
      <c r="Z51" s="44"/>
      <c r="AA51" s="44"/>
      <c r="AB51" s="44"/>
      <c r="AC51" s="44"/>
      <c r="AD51" s="44"/>
    </row>
    <row r="52" spans="1:30" ht="13.5" thickBot="1">
      <c r="A52" s="321"/>
      <c r="B52" s="104"/>
      <c r="C52" s="318"/>
      <c r="D52" s="306"/>
      <c r="E52" s="306"/>
      <c r="F52" s="306"/>
      <c r="G52" s="306"/>
      <c r="H52" s="306"/>
      <c r="I52" s="307"/>
      <c r="J52" s="105"/>
      <c r="K52" s="128"/>
      <c r="L52" s="128"/>
      <c r="M52" s="269"/>
      <c r="N52" s="272"/>
      <c r="O52" s="279"/>
      <c r="P52" s="44"/>
      <c r="Q52" s="44"/>
      <c r="R52" s="45"/>
      <c r="S52" s="45"/>
      <c r="T52" s="44"/>
      <c r="U52" s="44"/>
      <c r="V52" s="45"/>
      <c r="W52" s="45"/>
      <c r="X52" s="44"/>
      <c r="Y52" s="44"/>
      <c r="Z52" s="44"/>
      <c r="AA52" s="44"/>
      <c r="AB52" s="44"/>
      <c r="AC52" s="44"/>
      <c r="AD52" s="44"/>
    </row>
    <row r="53" spans="16:30" ht="12.75">
      <c r="P53" s="44"/>
      <c r="Q53" s="44"/>
      <c r="R53" s="45"/>
      <c r="S53" s="45"/>
      <c r="T53" s="44"/>
      <c r="U53" s="44"/>
      <c r="V53" s="45"/>
      <c r="W53" s="45"/>
      <c r="X53" s="44"/>
      <c r="Y53" s="44"/>
      <c r="Z53" s="44"/>
      <c r="AA53" s="44"/>
      <c r="AB53" s="44"/>
      <c r="AC53" s="44"/>
      <c r="AD53" s="44"/>
    </row>
    <row r="54" spans="1:30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45"/>
      <c r="T54" s="44"/>
      <c r="U54" s="44"/>
      <c r="V54" s="45"/>
      <c r="W54" s="45"/>
      <c r="X54" s="44"/>
      <c r="Y54" s="44"/>
      <c r="Z54" s="44"/>
      <c r="AA54" s="44"/>
      <c r="AB54" s="44"/>
      <c r="AC54" s="44"/>
      <c r="AD54" s="44"/>
    </row>
    <row r="55" spans="1:30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  <c r="S55" s="45"/>
      <c r="T55" s="44"/>
      <c r="U55" s="44"/>
      <c r="V55" s="45"/>
      <c r="W55" s="45"/>
      <c r="X55" s="44"/>
      <c r="Y55" s="44"/>
      <c r="Z55" s="44"/>
      <c r="AA55" s="44"/>
      <c r="AB55" s="44"/>
      <c r="AC55" s="44"/>
      <c r="AD55" s="44"/>
    </row>
    <row r="56" spans="1:30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45"/>
      <c r="T56" s="44"/>
      <c r="U56" s="44"/>
      <c r="V56" s="45"/>
      <c r="W56" s="45"/>
      <c r="X56" s="44"/>
      <c r="Y56" s="44"/>
      <c r="Z56" s="44"/>
      <c r="AA56" s="44"/>
      <c r="AB56" s="44"/>
      <c r="AC56" s="44"/>
      <c r="AD56" s="44"/>
    </row>
    <row r="57" spans="1:30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5"/>
      <c r="S57" s="45"/>
      <c r="T57" s="44"/>
      <c r="U57" s="44"/>
      <c r="V57" s="45"/>
      <c r="W57" s="45"/>
      <c r="X57" s="44"/>
      <c r="Y57" s="44"/>
      <c r="Z57" s="44"/>
      <c r="AA57" s="44"/>
      <c r="AB57" s="44"/>
      <c r="AC57" s="44"/>
      <c r="AD57" s="44"/>
    </row>
    <row r="58" spans="1:30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  <c r="S58" s="45"/>
      <c r="T58" s="44"/>
      <c r="U58" s="44"/>
      <c r="V58" s="45"/>
      <c r="W58" s="45"/>
      <c r="X58" s="44"/>
      <c r="Y58" s="44"/>
      <c r="Z58" s="44"/>
      <c r="AA58" s="44"/>
      <c r="AB58" s="44"/>
      <c r="AC58" s="44"/>
      <c r="AD58" s="44"/>
    </row>
    <row r="59" spans="1:30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5"/>
      <c r="S59" s="45"/>
      <c r="T59" s="44"/>
      <c r="U59" s="44"/>
      <c r="V59" s="45"/>
      <c r="W59" s="45"/>
      <c r="X59" s="44"/>
      <c r="Y59" s="44"/>
      <c r="Z59" s="44"/>
      <c r="AA59" s="44"/>
      <c r="AB59" s="44"/>
      <c r="AC59" s="44"/>
      <c r="AD59" s="44"/>
    </row>
    <row r="60" spans="1:3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  <c r="S60" s="45"/>
      <c r="T60" s="44"/>
      <c r="U60" s="44"/>
      <c r="V60" s="45"/>
      <c r="W60" s="45"/>
      <c r="X60" s="44"/>
      <c r="Y60" s="44"/>
      <c r="Z60" s="44"/>
      <c r="AA60" s="44"/>
      <c r="AB60" s="44"/>
      <c r="AC60" s="44"/>
      <c r="AD60" s="44"/>
    </row>
    <row r="61" spans="1:3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5"/>
      <c r="S61" s="45"/>
      <c r="T61" s="44"/>
      <c r="U61" s="44"/>
      <c r="V61" s="45"/>
      <c r="W61" s="45"/>
      <c r="X61" s="44"/>
      <c r="Y61" s="44"/>
      <c r="Z61" s="44"/>
      <c r="AA61" s="44"/>
      <c r="AB61" s="44"/>
      <c r="AC61" s="44"/>
      <c r="AD61" s="44"/>
    </row>
    <row r="62" spans="1:3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  <c r="S62" s="45"/>
      <c r="T62" s="44"/>
      <c r="U62" s="44"/>
      <c r="V62" s="45"/>
      <c r="W62" s="45"/>
      <c r="X62" s="44"/>
      <c r="Y62" s="44"/>
      <c r="Z62" s="44"/>
      <c r="AA62" s="44"/>
      <c r="AB62" s="44"/>
      <c r="AC62" s="44"/>
      <c r="AD62" s="44"/>
    </row>
    <row r="63" spans="1:3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5"/>
      <c r="S63" s="45"/>
      <c r="T63" s="44"/>
      <c r="U63" s="44"/>
      <c r="V63" s="45"/>
      <c r="W63" s="45"/>
      <c r="X63" s="44"/>
      <c r="Y63" s="44"/>
      <c r="Z63" s="44"/>
      <c r="AA63" s="44"/>
      <c r="AB63" s="44"/>
      <c r="AC63" s="44"/>
      <c r="AD63" s="44"/>
    </row>
    <row r="64" spans="1:3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  <c r="S64" s="45"/>
      <c r="T64" s="44"/>
      <c r="U64" s="44"/>
      <c r="V64" s="45"/>
      <c r="W64" s="45"/>
      <c r="X64" s="44"/>
      <c r="Y64" s="44"/>
      <c r="Z64" s="44"/>
      <c r="AA64" s="44"/>
      <c r="AB64" s="44"/>
      <c r="AC64" s="44"/>
      <c r="AD64" s="44"/>
    </row>
    <row r="65" spans="1:3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5"/>
      <c r="S65" s="45"/>
      <c r="T65" s="44"/>
      <c r="U65" s="44"/>
      <c r="V65" s="45"/>
      <c r="W65" s="45"/>
      <c r="X65" s="44"/>
      <c r="Y65" s="44"/>
      <c r="Z65" s="44"/>
      <c r="AA65" s="44"/>
      <c r="AB65" s="44"/>
      <c r="AC65" s="44"/>
      <c r="AD65" s="44"/>
    </row>
    <row r="66" spans="1:3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  <c r="S66" s="45"/>
      <c r="T66" s="44"/>
      <c r="U66" s="44"/>
      <c r="V66" s="45"/>
      <c r="W66" s="45"/>
      <c r="X66" s="44"/>
      <c r="Y66" s="44"/>
      <c r="Z66" s="44"/>
      <c r="AA66" s="44"/>
      <c r="AB66" s="44"/>
      <c r="AC66" s="44"/>
      <c r="AD66" s="44"/>
    </row>
    <row r="67" spans="1:3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5"/>
      <c r="S67" s="45"/>
      <c r="T67" s="44"/>
      <c r="U67" s="44"/>
      <c r="V67" s="45"/>
      <c r="W67" s="45"/>
      <c r="X67" s="44"/>
      <c r="Y67" s="44"/>
      <c r="Z67" s="44"/>
      <c r="AA67" s="44"/>
      <c r="AB67" s="44"/>
      <c r="AC67" s="44"/>
      <c r="AD67" s="44"/>
    </row>
    <row r="68" spans="1:3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/>
      <c r="S68" s="45"/>
      <c r="T68" s="44"/>
      <c r="U68" s="44"/>
      <c r="V68" s="45"/>
      <c r="W68" s="45"/>
      <c r="X68" s="44"/>
      <c r="Y68" s="44"/>
      <c r="Z68" s="44"/>
      <c r="AA68" s="44"/>
      <c r="AB68" s="44"/>
      <c r="AC68" s="44"/>
      <c r="AD68" s="44"/>
    </row>
    <row r="69" spans="1:3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  <c r="S69" s="45"/>
      <c r="T69" s="44"/>
      <c r="U69" s="44"/>
      <c r="V69" s="45"/>
      <c r="W69" s="45"/>
      <c r="X69" s="44"/>
      <c r="Y69" s="44"/>
      <c r="Z69" s="44"/>
      <c r="AA69" s="44"/>
      <c r="AB69" s="44"/>
      <c r="AC69" s="44"/>
      <c r="AD69" s="44"/>
    </row>
    <row r="70" spans="1:3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  <c r="S70" s="45"/>
      <c r="T70" s="44"/>
      <c r="U70" s="44"/>
      <c r="V70" s="45"/>
      <c r="W70" s="45"/>
      <c r="X70" s="44"/>
      <c r="Y70" s="44"/>
      <c r="Z70" s="44"/>
      <c r="AA70" s="44"/>
      <c r="AB70" s="44"/>
      <c r="AC70" s="44"/>
      <c r="AD70" s="44"/>
    </row>
    <row r="71" spans="1:3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  <c r="S71" s="45"/>
      <c r="T71" s="44"/>
      <c r="U71" s="44"/>
      <c r="V71" s="45"/>
      <c r="W71" s="45"/>
      <c r="X71" s="44"/>
      <c r="Y71" s="44"/>
      <c r="Z71" s="44"/>
      <c r="AA71" s="44"/>
      <c r="AB71" s="44"/>
      <c r="AC71" s="44"/>
      <c r="AD71" s="44"/>
    </row>
    <row r="72" spans="1:3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  <c r="S72" s="45"/>
      <c r="T72" s="44"/>
      <c r="U72" s="44"/>
      <c r="V72" s="45"/>
      <c r="W72" s="45"/>
      <c r="X72" s="44"/>
      <c r="Y72" s="44"/>
      <c r="Z72" s="44"/>
      <c r="AA72" s="44"/>
      <c r="AB72" s="44"/>
      <c r="AC72" s="44"/>
      <c r="AD72" s="44"/>
    </row>
    <row r="73" spans="1:3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5"/>
      <c r="S73" s="45"/>
      <c r="T73" s="44"/>
      <c r="U73" s="44"/>
      <c r="V73" s="45"/>
      <c r="W73" s="45"/>
      <c r="X73" s="44"/>
      <c r="Y73" s="44"/>
      <c r="Z73" s="44"/>
      <c r="AA73" s="44"/>
      <c r="AB73" s="44"/>
      <c r="AC73" s="44"/>
      <c r="AD73" s="44"/>
    </row>
    <row r="74" spans="1:3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/>
      <c r="S74" s="45"/>
      <c r="T74" s="44"/>
      <c r="U74" s="44"/>
      <c r="V74" s="45"/>
      <c r="W74" s="45"/>
      <c r="X74" s="44"/>
      <c r="Y74" s="44"/>
      <c r="Z74" s="44"/>
      <c r="AA74" s="44"/>
      <c r="AB74" s="44"/>
      <c r="AC74" s="44"/>
      <c r="AD74" s="44"/>
    </row>
    <row r="75" spans="1:3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  <c r="S75" s="45"/>
      <c r="T75" s="44"/>
      <c r="U75" s="44"/>
      <c r="V75" s="45"/>
      <c r="W75" s="45"/>
      <c r="X75" s="44"/>
      <c r="Y75" s="44"/>
      <c r="Z75" s="44"/>
      <c r="AA75" s="44"/>
      <c r="AB75" s="44"/>
      <c r="AC75" s="44"/>
      <c r="AD75" s="44"/>
    </row>
    <row r="76" spans="1:3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5"/>
      <c r="S76" s="45"/>
      <c r="T76" s="44"/>
      <c r="U76" s="44"/>
      <c r="V76" s="45"/>
      <c r="W76" s="45"/>
      <c r="X76" s="44"/>
      <c r="Y76" s="44"/>
      <c r="Z76" s="44"/>
      <c r="AA76" s="44"/>
      <c r="AB76" s="44"/>
      <c r="AC76" s="44"/>
      <c r="AD76" s="44"/>
    </row>
    <row r="77" spans="1:3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5"/>
      <c r="S77" s="45"/>
      <c r="T77" s="44"/>
      <c r="U77" s="44"/>
      <c r="V77" s="45"/>
      <c r="W77" s="45"/>
      <c r="X77" s="44"/>
      <c r="Y77" s="44"/>
      <c r="Z77" s="44"/>
      <c r="AA77" s="44"/>
      <c r="AB77" s="44"/>
      <c r="AC77" s="44"/>
      <c r="AD77" s="44"/>
    </row>
    <row r="78" spans="1:3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5"/>
      <c r="S78" s="45"/>
      <c r="T78" s="44"/>
      <c r="U78" s="44"/>
      <c r="V78" s="45"/>
      <c r="W78" s="45"/>
      <c r="X78" s="44"/>
      <c r="Y78" s="44"/>
      <c r="Z78" s="44"/>
      <c r="AA78" s="44"/>
      <c r="AB78" s="44"/>
      <c r="AC78" s="44"/>
      <c r="AD78" s="44"/>
    </row>
    <row r="79" spans="1:3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5"/>
      <c r="S79" s="45"/>
      <c r="T79" s="44"/>
      <c r="U79" s="44"/>
      <c r="V79" s="45"/>
      <c r="W79" s="45"/>
      <c r="X79" s="44"/>
      <c r="Y79" s="44"/>
      <c r="Z79" s="44"/>
      <c r="AA79" s="44"/>
      <c r="AB79" s="44"/>
      <c r="AC79" s="44"/>
      <c r="AD79" s="44"/>
    </row>
    <row r="80" spans="1:3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  <c r="S80" s="45"/>
      <c r="T80" s="44"/>
      <c r="U80" s="44"/>
      <c r="V80" s="45"/>
      <c r="W80" s="45"/>
      <c r="X80" s="44"/>
      <c r="Y80" s="44"/>
      <c r="Z80" s="44"/>
      <c r="AA80" s="44"/>
      <c r="AB80" s="44"/>
      <c r="AC80" s="44"/>
      <c r="AD80" s="44"/>
    </row>
    <row r="81" spans="1:3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5"/>
      <c r="S81" s="45"/>
      <c r="T81" s="44"/>
      <c r="U81" s="44"/>
      <c r="V81" s="45"/>
      <c r="W81" s="45"/>
      <c r="X81" s="44"/>
      <c r="Y81" s="44"/>
      <c r="Z81" s="44"/>
      <c r="AA81" s="44"/>
      <c r="AB81" s="44"/>
      <c r="AC81" s="44"/>
      <c r="AD81" s="44"/>
    </row>
    <row r="82" spans="1:3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5"/>
      <c r="S82" s="45"/>
      <c r="T82" s="44"/>
      <c r="U82" s="44"/>
      <c r="V82" s="45"/>
      <c r="W82" s="45"/>
      <c r="X82" s="44"/>
      <c r="Y82" s="44"/>
      <c r="Z82" s="44"/>
      <c r="AA82" s="44"/>
      <c r="AB82" s="44"/>
      <c r="AC82" s="44"/>
      <c r="AD82" s="44"/>
    </row>
    <row r="83" spans="1:3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5"/>
      <c r="S83" s="45"/>
      <c r="T83" s="44"/>
      <c r="U83" s="44"/>
      <c r="V83" s="45"/>
      <c r="W83" s="45"/>
      <c r="X83" s="44"/>
      <c r="Y83" s="44"/>
      <c r="Z83" s="44"/>
      <c r="AA83" s="44"/>
      <c r="AB83" s="44"/>
      <c r="AC83" s="44"/>
      <c r="AD83" s="44"/>
    </row>
    <row r="84" spans="1:3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5"/>
      <c r="S84" s="45"/>
      <c r="T84" s="44"/>
      <c r="U84" s="44"/>
      <c r="V84" s="45"/>
      <c r="W84" s="45"/>
      <c r="X84" s="44"/>
      <c r="Y84" s="44"/>
      <c r="Z84" s="44"/>
      <c r="AA84" s="44"/>
      <c r="AB84" s="44"/>
      <c r="AC84" s="44"/>
      <c r="AD84" s="44"/>
    </row>
    <row r="85" spans="1:3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5"/>
      <c r="S85" s="45"/>
      <c r="T85" s="44"/>
      <c r="U85" s="44"/>
      <c r="V85" s="45"/>
      <c r="W85" s="45"/>
      <c r="X85" s="44"/>
      <c r="Y85" s="44"/>
      <c r="Z85" s="44"/>
      <c r="AA85" s="44"/>
      <c r="AB85" s="44"/>
      <c r="AC85" s="44"/>
      <c r="AD85" s="44"/>
    </row>
    <row r="86" spans="1:3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5"/>
      <c r="S86" s="45"/>
      <c r="T86" s="44"/>
      <c r="U86" s="44"/>
      <c r="V86" s="45"/>
      <c r="W86" s="45"/>
      <c r="X86" s="44"/>
      <c r="Y86" s="44"/>
      <c r="Z86" s="44"/>
      <c r="AA86" s="44"/>
      <c r="AB86" s="44"/>
      <c r="AC86" s="44"/>
      <c r="AD86" s="44"/>
    </row>
    <row r="87" spans="1:3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5"/>
      <c r="S87" s="45"/>
      <c r="T87" s="44"/>
      <c r="U87" s="44"/>
      <c r="V87" s="45"/>
      <c r="W87" s="45"/>
      <c r="X87" s="44"/>
      <c r="Y87" s="44"/>
      <c r="Z87" s="44"/>
      <c r="AA87" s="44"/>
      <c r="AB87" s="44"/>
      <c r="AC87" s="44"/>
      <c r="AD87" s="44"/>
    </row>
    <row r="88" spans="1:3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  <c r="S88" s="45"/>
      <c r="T88" s="44"/>
      <c r="U88" s="44"/>
      <c r="V88" s="45"/>
      <c r="W88" s="45"/>
      <c r="X88" s="44"/>
      <c r="Y88" s="44"/>
      <c r="Z88" s="44"/>
      <c r="AA88" s="44"/>
      <c r="AB88" s="44"/>
      <c r="AC88" s="44"/>
      <c r="AD88" s="44"/>
    </row>
    <row r="89" spans="1:3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5"/>
      <c r="S89" s="45"/>
      <c r="T89" s="44"/>
      <c r="U89" s="44"/>
      <c r="V89" s="45"/>
      <c r="W89" s="45"/>
      <c r="X89" s="44"/>
      <c r="Y89" s="44"/>
      <c r="Z89" s="44"/>
      <c r="AA89" s="44"/>
      <c r="AB89" s="44"/>
      <c r="AC89" s="44"/>
      <c r="AD89" s="44"/>
    </row>
    <row r="90" spans="1:3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5"/>
      <c r="S90" s="45"/>
      <c r="T90" s="44"/>
      <c r="U90" s="44"/>
      <c r="V90" s="45"/>
      <c r="W90" s="45"/>
      <c r="X90" s="44"/>
      <c r="Y90" s="44"/>
      <c r="Z90" s="44"/>
      <c r="AA90" s="44"/>
      <c r="AB90" s="44"/>
      <c r="AC90" s="44"/>
      <c r="AD90" s="44"/>
    </row>
    <row r="91" spans="1:3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5"/>
      <c r="S91" s="45"/>
      <c r="T91" s="44"/>
      <c r="U91" s="44"/>
      <c r="V91" s="45"/>
      <c r="W91" s="45"/>
      <c r="X91" s="44"/>
      <c r="Y91" s="44"/>
      <c r="Z91" s="44"/>
      <c r="AA91" s="44"/>
      <c r="AB91" s="44"/>
      <c r="AC91" s="44"/>
      <c r="AD91" s="44"/>
    </row>
    <row r="92" spans="1:3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5"/>
      <c r="S92" s="45"/>
      <c r="T92" s="44"/>
      <c r="U92" s="44"/>
      <c r="V92" s="45"/>
      <c r="W92" s="45"/>
      <c r="X92" s="44"/>
      <c r="Y92" s="44"/>
      <c r="Z92" s="44"/>
      <c r="AA92" s="44"/>
      <c r="AB92" s="44"/>
      <c r="AC92" s="44"/>
      <c r="AD92" s="44"/>
    </row>
    <row r="93" spans="1:3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5"/>
      <c r="S93" s="45"/>
      <c r="T93" s="44"/>
      <c r="U93" s="44"/>
      <c r="V93" s="45"/>
      <c r="W93" s="45"/>
      <c r="X93" s="44"/>
      <c r="Y93" s="44"/>
      <c r="Z93" s="44"/>
      <c r="AA93" s="44"/>
      <c r="AB93" s="44"/>
      <c r="AC93" s="44"/>
      <c r="AD93" s="44"/>
    </row>
    <row r="94" spans="1:3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5"/>
      <c r="S94" s="45"/>
      <c r="T94" s="44"/>
      <c r="U94" s="44"/>
      <c r="V94" s="45"/>
      <c r="W94" s="45"/>
      <c r="X94" s="44"/>
      <c r="Y94" s="44"/>
      <c r="Z94" s="44"/>
      <c r="AA94" s="44"/>
      <c r="AB94" s="44"/>
      <c r="AC94" s="44"/>
      <c r="AD94" s="44"/>
    </row>
    <row r="95" spans="1:3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5"/>
      <c r="S95" s="45"/>
      <c r="T95" s="44"/>
      <c r="U95" s="44"/>
      <c r="V95" s="45"/>
      <c r="W95" s="45"/>
      <c r="X95" s="44"/>
      <c r="Y95" s="44"/>
      <c r="Z95" s="44"/>
      <c r="AA95" s="44"/>
      <c r="AB95" s="44"/>
      <c r="AC95" s="44"/>
      <c r="AD95" s="44"/>
    </row>
    <row r="96" spans="1:3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5"/>
      <c r="S96" s="45"/>
      <c r="T96" s="44"/>
      <c r="U96" s="44"/>
      <c r="V96" s="45"/>
      <c r="W96" s="45"/>
      <c r="X96" s="44"/>
      <c r="Y96" s="44"/>
      <c r="Z96" s="44"/>
      <c r="AA96" s="44"/>
      <c r="AB96" s="44"/>
      <c r="AC96" s="44"/>
      <c r="AD96" s="44"/>
    </row>
    <row r="97" spans="1:3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  <c r="S97" s="45"/>
      <c r="T97" s="44"/>
      <c r="U97" s="44"/>
      <c r="V97" s="45"/>
      <c r="W97" s="45"/>
      <c r="X97" s="44"/>
      <c r="Y97" s="44"/>
      <c r="Z97" s="44"/>
      <c r="AA97" s="44"/>
      <c r="AB97" s="44"/>
      <c r="AC97" s="44"/>
      <c r="AD97" s="44"/>
    </row>
    <row r="98" spans="1:3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5"/>
      <c r="S98" s="45"/>
      <c r="T98" s="44"/>
      <c r="U98" s="44"/>
      <c r="V98" s="45"/>
      <c r="W98" s="45"/>
      <c r="X98" s="44"/>
      <c r="Y98" s="44"/>
      <c r="Z98" s="44"/>
      <c r="AA98" s="44"/>
      <c r="AB98" s="44"/>
      <c r="AC98" s="44"/>
      <c r="AD98" s="44"/>
    </row>
    <row r="99" spans="1:3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  <c r="S99" s="45"/>
      <c r="T99" s="44"/>
      <c r="U99" s="44"/>
      <c r="V99" s="45"/>
      <c r="W99" s="45"/>
      <c r="X99" s="44"/>
      <c r="Y99" s="44"/>
      <c r="Z99" s="44"/>
      <c r="AA99" s="44"/>
      <c r="AB99" s="44"/>
      <c r="AC99" s="44"/>
      <c r="AD99" s="44"/>
    </row>
    <row r="100" spans="1:3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5"/>
      <c r="S100" s="45"/>
      <c r="T100" s="44"/>
      <c r="U100" s="44"/>
      <c r="V100" s="45"/>
      <c r="W100" s="45"/>
      <c r="X100" s="44"/>
      <c r="Y100" s="44"/>
      <c r="Z100" s="44"/>
      <c r="AA100" s="44"/>
      <c r="AB100" s="44"/>
      <c r="AC100" s="44"/>
      <c r="AD100" s="44"/>
    </row>
    <row r="101" spans="1:3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  <c r="S101" s="45"/>
      <c r="T101" s="44"/>
      <c r="U101" s="44"/>
      <c r="V101" s="45"/>
      <c r="W101" s="45"/>
      <c r="X101" s="44"/>
      <c r="Y101" s="44"/>
      <c r="Z101" s="44"/>
      <c r="AA101" s="44"/>
      <c r="AB101" s="44"/>
      <c r="AC101" s="44"/>
      <c r="AD101" s="44"/>
    </row>
    <row r="102" spans="1:3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5"/>
      <c r="S102" s="45"/>
      <c r="T102" s="44"/>
      <c r="U102" s="44"/>
      <c r="V102" s="45"/>
      <c r="W102" s="45"/>
      <c r="X102" s="44"/>
      <c r="Y102" s="44"/>
      <c r="Z102" s="44"/>
      <c r="AA102" s="44"/>
      <c r="AB102" s="44"/>
      <c r="AC102" s="44"/>
      <c r="AD102" s="44"/>
    </row>
    <row r="103" spans="1:3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5"/>
      <c r="S103" s="45"/>
      <c r="T103" s="44"/>
      <c r="U103" s="44"/>
      <c r="V103" s="45"/>
      <c r="W103" s="45"/>
      <c r="X103" s="44"/>
      <c r="Y103" s="44"/>
      <c r="Z103" s="44"/>
      <c r="AA103" s="44"/>
      <c r="AB103" s="44"/>
      <c r="AC103" s="44"/>
      <c r="AD103" s="44"/>
    </row>
    <row r="104" spans="1:3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5"/>
      <c r="S104" s="45"/>
      <c r="T104" s="44"/>
      <c r="U104" s="44"/>
      <c r="V104" s="45"/>
      <c r="W104" s="45"/>
      <c r="X104" s="44"/>
      <c r="Y104" s="44"/>
      <c r="Z104" s="44"/>
      <c r="AA104" s="44"/>
      <c r="AB104" s="44"/>
      <c r="AC104" s="44"/>
      <c r="AD104" s="44"/>
    </row>
    <row r="105" spans="1:3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5"/>
      <c r="S105" s="45"/>
      <c r="T105" s="44"/>
      <c r="U105" s="44"/>
      <c r="V105" s="45"/>
      <c r="W105" s="45"/>
      <c r="X105" s="44"/>
      <c r="Y105" s="44"/>
      <c r="Z105" s="44"/>
      <c r="AA105" s="44"/>
      <c r="AB105" s="44"/>
      <c r="AC105" s="44"/>
      <c r="AD105" s="44"/>
    </row>
    <row r="106" spans="1:3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5"/>
      <c r="S106" s="45"/>
      <c r="T106" s="44"/>
      <c r="U106" s="44"/>
      <c r="V106" s="45"/>
      <c r="W106" s="45"/>
      <c r="X106" s="44"/>
      <c r="Y106" s="44"/>
      <c r="Z106" s="44"/>
      <c r="AA106" s="44"/>
      <c r="AB106" s="44"/>
      <c r="AC106" s="44"/>
      <c r="AD106" s="44"/>
    </row>
    <row r="107" spans="1:3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5"/>
      <c r="S107" s="45"/>
      <c r="T107" s="44"/>
      <c r="U107" s="44"/>
      <c r="V107" s="45"/>
      <c r="W107" s="45"/>
      <c r="X107" s="44"/>
      <c r="Y107" s="44"/>
      <c r="Z107" s="44"/>
      <c r="AA107" s="44"/>
      <c r="AB107" s="44"/>
      <c r="AC107" s="44"/>
      <c r="AD107" s="44"/>
    </row>
    <row r="108" spans="1:3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5"/>
      <c r="S108" s="45"/>
      <c r="T108" s="44"/>
      <c r="U108" s="44"/>
      <c r="V108" s="45"/>
      <c r="W108" s="45"/>
      <c r="X108" s="44"/>
      <c r="Y108" s="44"/>
      <c r="Z108" s="44"/>
      <c r="AA108" s="44"/>
      <c r="AB108" s="44"/>
      <c r="AC108" s="44"/>
      <c r="AD108" s="44"/>
    </row>
    <row r="109" spans="1:3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  <c r="S109" s="45"/>
      <c r="T109" s="44"/>
      <c r="U109" s="44"/>
      <c r="V109" s="45"/>
      <c r="W109" s="45"/>
      <c r="X109" s="44"/>
      <c r="Y109" s="44"/>
      <c r="Z109" s="44"/>
      <c r="AA109" s="44"/>
      <c r="AB109" s="44"/>
      <c r="AC109" s="44"/>
      <c r="AD109" s="44"/>
    </row>
    <row r="110" spans="1:3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5"/>
      <c r="S110" s="45"/>
      <c r="T110" s="44"/>
      <c r="U110" s="44"/>
      <c r="V110" s="45"/>
      <c r="W110" s="45"/>
      <c r="X110" s="44"/>
      <c r="Y110" s="44"/>
      <c r="Z110" s="44"/>
      <c r="AA110" s="44"/>
      <c r="AB110" s="44"/>
      <c r="AC110" s="44"/>
      <c r="AD110" s="44"/>
    </row>
    <row r="111" spans="1:3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5"/>
      <c r="S111" s="45"/>
      <c r="T111" s="44"/>
      <c r="U111" s="44"/>
      <c r="V111" s="45"/>
      <c r="W111" s="45"/>
      <c r="X111" s="44"/>
      <c r="Y111" s="44"/>
      <c r="Z111" s="44"/>
      <c r="AA111" s="44"/>
      <c r="AB111" s="44"/>
      <c r="AC111" s="44"/>
      <c r="AD111" s="44"/>
    </row>
  </sheetData>
  <sheetProtection/>
  <mergeCells count="49">
    <mergeCell ref="E9:G9"/>
    <mergeCell ref="L7:M7"/>
    <mergeCell ref="L9:M9"/>
    <mergeCell ref="J1:L1"/>
    <mergeCell ref="C1:F1"/>
    <mergeCell ref="J2:L2"/>
    <mergeCell ref="C2:F2"/>
    <mergeCell ref="E8:G8"/>
    <mergeCell ref="L5:N5"/>
    <mergeCell ref="L6:M6"/>
    <mergeCell ref="E6:G6"/>
    <mergeCell ref="E7:G7"/>
    <mergeCell ref="L8:M8"/>
    <mergeCell ref="A16:G16"/>
    <mergeCell ref="C10:F10"/>
    <mergeCell ref="C11:I11"/>
    <mergeCell ref="I16:O16"/>
    <mergeCell ref="L10:M10"/>
    <mergeCell ref="B14:D14"/>
    <mergeCell ref="L11:M11"/>
    <mergeCell ref="A3:B3"/>
    <mergeCell ref="A4:B4"/>
    <mergeCell ref="C4:D4"/>
    <mergeCell ref="C3:E3"/>
    <mergeCell ref="C51:I51"/>
    <mergeCell ref="C52:I52"/>
    <mergeCell ref="C32:I32"/>
    <mergeCell ref="C41:I41"/>
    <mergeCell ref="C38:I38"/>
    <mergeCell ref="C35:I35"/>
    <mergeCell ref="C49:I49"/>
    <mergeCell ref="C48:I48"/>
    <mergeCell ref="C34:I34"/>
    <mergeCell ref="C36:I36"/>
    <mergeCell ref="A49:A52"/>
    <mergeCell ref="A44:A48"/>
    <mergeCell ref="A33:A43"/>
    <mergeCell ref="C33:I33"/>
    <mergeCell ref="C50:I50"/>
    <mergeCell ref="C40:I40"/>
    <mergeCell ref="C45:I45"/>
    <mergeCell ref="C43:I43"/>
    <mergeCell ref="C44:I44"/>
    <mergeCell ref="C47:I47"/>
    <mergeCell ref="C46:I46"/>
    <mergeCell ref="A30:O30"/>
    <mergeCell ref="C39:I39"/>
    <mergeCell ref="C37:I37"/>
    <mergeCell ref="C42:I42"/>
  </mergeCells>
  <conditionalFormatting sqref="C28:G28 J28:O28">
    <cfRule type="cellIs" priority="1" dxfId="9" operator="greaterThan" stopIfTrue="1">
      <formula>0</formula>
    </cfRule>
  </conditionalFormatting>
  <conditionalFormatting sqref="B21:F21 B23:F23 B25:F25 B27:F27 B19:F19 B29 J29 J21:N21 J23:N23 J25:N25 J19:N19 J27:N27">
    <cfRule type="cellIs" priority="2" dxfId="10" operator="greaterThan" stopIfTrue="1">
      <formula>0</formula>
    </cfRule>
  </conditionalFormatting>
  <conditionalFormatting sqref="B24:F24 B22:F22 B20:F20 J24:N24 J22:N22 J20:N20">
    <cfRule type="cellIs" priority="3" dxfId="11" operator="greaterThan" stopIfTrue="1">
      <formula>0</formula>
    </cfRule>
  </conditionalFormatting>
  <conditionalFormatting sqref="B18:F18 B26:F26 J18:N18 J26:N26">
    <cfRule type="cellIs" priority="4" dxfId="11" operator="greaterThan" stopIfTrue="1">
      <formula>0</formula>
    </cfRule>
  </conditionalFormatting>
  <conditionalFormatting sqref="O18 O20 O22 O24 O26 G18 G20 G22 G24 G26">
    <cfRule type="cellIs" priority="5" dxfId="12" operator="greaterThan" stopIfTrue="1">
      <formula>0</formula>
    </cfRule>
  </conditionalFormatting>
  <conditionalFormatting sqref="O19 O21 O23 O25 O27 G19 G21 G23 G25 G27">
    <cfRule type="cellIs" priority="6" dxfId="13" operator="greaterThan" stopIfTrue="1">
      <formula>0</formula>
    </cfRule>
  </conditionalFormatting>
  <conditionalFormatting sqref="I23 I27 I19 I25 I21 A23 A27 A19 A25 A21 A29 I29">
    <cfRule type="cellIs" priority="7" dxfId="14" operator="greaterThan" stopIfTrue="1">
      <formula>0</formula>
    </cfRule>
  </conditionalFormatting>
  <conditionalFormatting sqref="I20 I22 I24 I26 I28 I18 A20 A22 A24 A26 A18 A28">
    <cfRule type="cellIs" priority="8" dxfId="15" operator="greaterThan" stopIfTrue="1">
      <formula>0</formula>
    </cfRule>
  </conditionalFormatting>
  <conditionalFormatting sqref="B28">
    <cfRule type="cellIs" priority="9" dxfId="16" operator="greaterThan" stopIfTrue="1">
      <formula>0</formula>
    </cfRule>
  </conditionalFormatting>
  <printOptions/>
  <pageMargins left="0.75" right="0.35" top="0.66" bottom="0.39" header="0.36" footer="0.21"/>
  <pageSetup horizontalDpi="300" verticalDpi="300" orientation="landscape" paperSize="9" scale="99" r:id="rId1"/>
  <headerFooter alignWithMargins="0">
    <oddHeader>&amp;L&amp;F&amp;R&amp;A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4">
      <selection activeCell="G35" sqref="G35"/>
    </sheetView>
  </sheetViews>
  <sheetFormatPr defaultColWidth="9.140625" defaultRowHeight="12.75"/>
  <cols>
    <col min="1" max="1" width="5.00390625" style="0" bestFit="1" customWidth="1"/>
    <col min="2" max="2" width="16.421875" style="0" bestFit="1" customWidth="1"/>
    <col min="3" max="3" width="8.00390625" style="0" bestFit="1" customWidth="1"/>
    <col min="4" max="4" width="6.28125" style="0" bestFit="1" customWidth="1"/>
    <col min="5" max="5" width="3.00390625" style="0" customWidth="1"/>
    <col min="6" max="6" width="1.28515625" style="0" customWidth="1"/>
    <col min="7" max="7" width="4.8515625" style="0" customWidth="1"/>
    <col min="9" max="9" width="16.140625" style="0" bestFit="1" customWidth="1"/>
    <col min="11" max="11" width="4.00390625" style="0" bestFit="1" customWidth="1"/>
    <col min="12" max="12" width="3.28125" style="0" customWidth="1"/>
    <col min="13" max="13" width="3.00390625" style="0" bestFit="1" customWidth="1"/>
    <col min="14" max="14" width="12.00390625" style="0" bestFit="1" customWidth="1"/>
    <col min="15" max="15" width="3.7109375" style="0" customWidth="1"/>
    <col min="17" max="17" width="4.00390625" style="0" bestFit="1" customWidth="1"/>
  </cols>
  <sheetData>
    <row r="1" spans="1:19" ht="13.5" thickBot="1">
      <c r="A1" s="472" t="s">
        <v>319</v>
      </c>
      <c r="B1" s="474"/>
      <c r="C1" s="474"/>
      <c r="D1" s="475"/>
      <c r="F1" s="472" t="s">
        <v>286</v>
      </c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473"/>
    </row>
    <row r="2" spans="1:16" ht="13.5" thickBot="1">
      <c r="A2" s="185">
        <v>48</v>
      </c>
      <c r="B2" s="185" t="s">
        <v>287</v>
      </c>
      <c r="C2" s="281">
        <v>10</v>
      </c>
      <c r="D2" s="281">
        <f>C2/A2</f>
        <v>0.20833333333333334</v>
      </c>
      <c r="H2" s="200">
        <v>2007</v>
      </c>
      <c r="J2" s="200">
        <v>2008</v>
      </c>
      <c r="P2" s="200" t="s">
        <v>133</v>
      </c>
    </row>
    <row r="3" spans="1:10" ht="12.75">
      <c r="A3">
        <v>24</v>
      </c>
      <c r="B3" s="185" t="s">
        <v>288</v>
      </c>
      <c r="C3" s="281">
        <v>6</v>
      </c>
      <c r="D3" s="281">
        <f>C3/A3</f>
        <v>0.25</v>
      </c>
      <c r="H3">
        <v>50</v>
      </c>
      <c r="I3" t="s">
        <v>132</v>
      </c>
      <c r="J3">
        <v>200</v>
      </c>
    </row>
    <row r="4" spans="1:10" ht="12.75">
      <c r="A4">
        <v>48</v>
      </c>
      <c r="B4" s="185" t="s">
        <v>289</v>
      </c>
      <c r="C4" s="281">
        <v>10</v>
      </c>
      <c r="D4" s="281">
        <f>C4/A4</f>
        <v>0.20833333333333334</v>
      </c>
      <c r="H4">
        <v>90</v>
      </c>
      <c r="I4" t="s">
        <v>131</v>
      </c>
      <c r="J4">
        <f>J3*(H4/H3)</f>
        <v>360</v>
      </c>
    </row>
    <row r="5" spans="1:4" ht="12.75">
      <c r="A5">
        <v>12</v>
      </c>
      <c r="B5" s="185" t="s">
        <v>313</v>
      </c>
      <c r="C5" s="281">
        <v>11</v>
      </c>
      <c r="D5" s="281">
        <f>C5/A5</f>
        <v>0.9166666666666666</v>
      </c>
    </row>
    <row r="6" spans="1:16" ht="12.75">
      <c r="A6">
        <v>48</v>
      </c>
      <c r="B6" s="185" t="s">
        <v>290</v>
      </c>
      <c r="C6" s="281">
        <f>32.7</f>
        <v>32.7</v>
      </c>
      <c r="D6" s="281">
        <f aca="true" t="shared" si="0" ref="D6:D31">C6/A6</f>
        <v>0.68125</v>
      </c>
      <c r="G6">
        <v>120</v>
      </c>
      <c r="H6">
        <v>10</v>
      </c>
      <c r="I6" t="s">
        <v>130</v>
      </c>
      <c r="J6">
        <f>H6*4</f>
        <v>40</v>
      </c>
      <c r="K6">
        <f>G6*4</f>
        <v>480</v>
      </c>
      <c r="M6">
        <v>30</v>
      </c>
      <c r="N6" s="199">
        <f>(M6/0.8)*10</f>
        <v>375</v>
      </c>
      <c r="P6">
        <v>200</v>
      </c>
    </row>
    <row r="7" spans="1:16" ht="12.75">
      <c r="A7">
        <v>150</v>
      </c>
      <c r="B7" s="185" t="s">
        <v>291</v>
      </c>
      <c r="C7" s="281">
        <v>31.5</v>
      </c>
      <c r="D7" s="281">
        <f t="shared" si="0"/>
        <v>0.21</v>
      </c>
      <c r="G7">
        <v>100</v>
      </c>
      <c r="H7">
        <v>8</v>
      </c>
      <c r="I7" t="s">
        <v>129</v>
      </c>
      <c r="J7">
        <f>H7*4</f>
        <v>32</v>
      </c>
      <c r="K7">
        <f>G7*4</f>
        <v>400</v>
      </c>
      <c r="M7">
        <v>15</v>
      </c>
      <c r="N7" s="199">
        <f>(M7/0.8)*10</f>
        <v>187.5</v>
      </c>
      <c r="P7">
        <v>120</v>
      </c>
    </row>
    <row r="8" spans="1:17" ht="12.75">
      <c r="A8">
        <v>6</v>
      </c>
      <c r="B8" s="185" t="s">
        <v>292</v>
      </c>
      <c r="C8" s="281">
        <v>5.34</v>
      </c>
      <c r="D8" s="281">
        <f t="shared" si="0"/>
        <v>0.89</v>
      </c>
      <c r="N8" s="199"/>
      <c r="Q8">
        <f>SUM(P6:P7)</f>
        <v>320</v>
      </c>
    </row>
    <row r="9" spans="1:16" ht="12.75">
      <c r="A9">
        <v>24</v>
      </c>
      <c r="B9" s="185" t="s">
        <v>293</v>
      </c>
      <c r="C9" s="281">
        <v>7.8</v>
      </c>
      <c r="D9" s="281">
        <f t="shared" si="0"/>
        <v>0.325</v>
      </c>
      <c r="G9">
        <f>H9*16</f>
        <v>96</v>
      </c>
      <c r="H9">
        <v>6</v>
      </c>
      <c r="I9" t="s">
        <v>91</v>
      </c>
      <c r="J9">
        <f>H9*4</f>
        <v>24</v>
      </c>
      <c r="K9">
        <f>G9*4</f>
        <v>384</v>
      </c>
      <c r="M9">
        <v>10</v>
      </c>
      <c r="N9">
        <f>(M9)*20</f>
        <v>200</v>
      </c>
      <c r="P9">
        <v>144</v>
      </c>
    </row>
    <row r="10" spans="1:4" ht="12.75">
      <c r="A10">
        <v>12</v>
      </c>
      <c r="B10" s="185" t="s">
        <v>294</v>
      </c>
      <c r="C10" s="281">
        <v>8.99</v>
      </c>
      <c r="D10" s="281">
        <f t="shared" si="0"/>
        <v>0.7491666666666666</v>
      </c>
    </row>
    <row r="11" spans="1:10" ht="12.75">
      <c r="A11">
        <v>2</v>
      </c>
      <c r="B11" s="185" t="s">
        <v>295</v>
      </c>
      <c r="C11" s="281">
        <v>1.78</v>
      </c>
      <c r="D11" s="281">
        <f t="shared" si="0"/>
        <v>0.89</v>
      </c>
      <c r="H11" s="198">
        <f>(H6+H7+H9)/90</f>
        <v>0.26666666666666666</v>
      </c>
      <c r="J11" s="198">
        <f>(M6+M7+M9)/J4</f>
        <v>0.1527777777777778</v>
      </c>
    </row>
    <row r="12" spans="1:14" ht="12.75">
      <c r="A12">
        <v>20</v>
      </c>
      <c r="B12" s="185" t="s">
        <v>296</v>
      </c>
      <c r="C12" s="281">
        <v>9.8</v>
      </c>
      <c r="D12" s="281">
        <f t="shared" si="0"/>
        <v>0.49000000000000005</v>
      </c>
      <c r="N12">
        <f>53/3</f>
        <v>17.666666666666668</v>
      </c>
    </row>
    <row r="13" spans="1:4" ht="12.75">
      <c r="A13">
        <v>5</v>
      </c>
      <c r="B13" s="185" t="s">
        <v>297</v>
      </c>
      <c r="C13" s="281">
        <v>3.45</v>
      </c>
      <c r="D13" s="281">
        <f t="shared" si="0"/>
        <v>0.6900000000000001</v>
      </c>
    </row>
    <row r="14" spans="1:18" ht="12.75">
      <c r="A14">
        <v>3</v>
      </c>
      <c r="B14" s="185" t="s">
        <v>298</v>
      </c>
      <c r="C14" s="281">
        <v>2.55</v>
      </c>
      <c r="D14" s="281">
        <f t="shared" si="0"/>
        <v>0.85</v>
      </c>
      <c r="I14" t="s">
        <v>160</v>
      </c>
      <c r="J14" t="s">
        <v>166</v>
      </c>
      <c r="R14" s="185" t="s">
        <v>235</v>
      </c>
    </row>
    <row r="15" spans="1:18" ht="12.75">
      <c r="A15">
        <v>10</v>
      </c>
      <c r="B15" s="185" t="s">
        <v>299</v>
      </c>
      <c r="C15" s="281">
        <v>8.28</v>
      </c>
      <c r="D15" s="281">
        <f t="shared" si="0"/>
        <v>0.828</v>
      </c>
      <c r="I15" t="s">
        <v>161</v>
      </c>
      <c r="J15" s="185" t="s">
        <v>239</v>
      </c>
      <c r="R15" s="185" t="s">
        <v>238</v>
      </c>
    </row>
    <row r="16" spans="1:18" ht="12.75">
      <c r="A16">
        <v>24</v>
      </c>
      <c r="B16" s="185" t="s">
        <v>300</v>
      </c>
      <c r="C16" s="281">
        <v>17</v>
      </c>
      <c r="D16" s="281">
        <f t="shared" si="0"/>
        <v>0.7083333333333334</v>
      </c>
      <c r="I16" t="s">
        <v>162</v>
      </c>
      <c r="J16" s="185" t="s">
        <v>234</v>
      </c>
      <c r="R16" s="185" t="s">
        <v>236</v>
      </c>
    </row>
    <row r="17" spans="1:18" ht="12.75">
      <c r="A17">
        <v>12</v>
      </c>
      <c r="B17" s="185" t="s">
        <v>301</v>
      </c>
      <c r="C17" s="281">
        <v>9.5</v>
      </c>
      <c r="D17" s="281">
        <f t="shared" si="0"/>
        <v>0.7916666666666666</v>
      </c>
      <c r="I17" t="s">
        <v>163</v>
      </c>
      <c r="J17" s="185" t="s">
        <v>234</v>
      </c>
      <c r="R17" s="185" t="s">
        <v>237</v>
      </c>
    </row>
    <row r="18" spans="1:10" ht="12.75">
      <c r="A18">
        <v>19</v>
      </c>
      <c r="B18" s="185" t="s">
        <v>302</v>
      </c>
      <c r="C18" s="281">
        <v>11.2</v>
      </c>
      <c r="D18" s="281">
        <f t="shared" si="0"/>
        <v>0.5894736842105263</v>
      </c>
      <c r="I18" t="s">
        <v>164</v>
      </c>
      <c r="J18" t="s">
        <v>165</v>
      </c>
    </row>
    <row r="19" spans="1:4" ht="12.75">
      <c r="A19">
        <v>20</v>
      </c>
      <c r="B19" s="185" t="s">
        <v>303</v>
      </c>
      <c r="C19" s="281">
        <v>7.9</v>
      </c>
      <c r="D19" s="281">
        <f t="shared" si="0"/>
        <v>0.395</v>
      </c>
    </row>
    <row r="20" spans="1:4" ht="12.75">
      <c r="A20">
        <f>11*12</f>
        <v>132</v>
      </c>
      <c r="B20" s="185" t="s">
        <v>304</v>
      </c>
      <c r="C20" s="281">
        <v>16.68</v>
      </c>
      <c r="D20" s="281">
        <f t="shared" si="0"/>
        <v>0.12636363636363637</v>
      </c>
    </row>
    <row r="21" spans="1:4" ht="12.75">
      <c r="A21">
        <v>20</v>
      </c>
      <c r="B21" s="185" t="s">
        <v>305</v>
      </c>
      <c r="C21" s="281">
        <v>1.19</v>
      </c>
      <c r="D21" s="281">
        <f t="shared" si="0"/>
        <v>0.0595</v>
      </c>
    </row>
    <row r="22" spans="1:4" ht="12.75">
      <c r="A22">
        <v>20</v>
      </c>
      <c r="B22" s="185" t="s">
        <v>306</v>
      </c>
      <c r="C22" s="281">
        <v>1.09</v>
      </c>
      <c r="D22" s="281">
        <f t="shared" si="0"/>
        <v>0.05450000000000001</v>
      </c>
    </row>
    <row r="23" spans="1:4" ht="12.75">
      <c r="A23">
        <v>12</v>
      </c>
      <c r="B23" s="185" t="s">
        <v>307</v>
      </c>
      <c r="C23" s="281">
        <v>8.28</v>
      </c>
      <c r="D23" s="281">
        <f t="shared" si="0"/>
        <v>0.69</v>
      </c>
    </row>
    <row r="24" spans="1:4" ht="12.75">
      <c r="A24">
        <v>18</v>
      </c>
      <c r="B24" s="185" t="s">
        <v>308</v>
      </c>
      <c r="C24" s="281">
        <v>17.9</v>
      </c>
      <c r="D24" s="281">
        <f t="shared" si="0"/>
        <v>0.9944444444444444</v>
      </c>
    </row>
    <row r="25" spans="1:4" ht="12.75">
      <c r="A25">
        <v>3</v>
      </c>
      <c r="B25" s="185" t="s">
        <v>309</v>
      </c>
      <c r="C25" s="281">
        <v>2.07</v>
      </c>
      <c r="D25" s="281">
        <f t="shared" si="0"/>
        <v>0.69</v>
      </c>
    </row>
    <row r="26" spans="1:4" ht="12.75">
      <c r="A26" s="282">
        <v>5</v>
      </c>
      <c r="B26" s="283" t="s">
        <v>310</v>
      </c>
      <c r="C26" s="284">
        <v>7.45</v>
      </c>
      <c r="D26" s="284">
        <f t="shared" si="0"/>
        <v>1.49</v>
      </c>
    </row>
    <row r="27" spans="1:4" ht="12.75">
      <c r="A27">
        <v>10</v>
      </c>
      <c r="B27" s="185" t="s">
        <v>311</v>
      </c>
      <c r="C27" s="281">
        <f>2.78+5.16+5.96</f>
        <v>13.899999999999999</v>
      </c>
      <c r="D27" s="281">
        <f t="shared" si="0"/>
        <v>1.39</v>
      </c>
    </row>
    <row r="28" spans="1:4" ht="12.75">
      <c r="A28">
        <v>5</v>
      </c>
      <c r="B28" s="185" t="s">
        <v>312</v>
      </c>
      <c r="C28" s="281">
        <v>3.75</v>
      </c>
      <c r="D28" s="281">
        <f t="shared" si="0"/>
        <v>0.75</v>
      </c>
    </row>
    <row r="29" spans="1:4" ht="12.75">
      <c r="A29">
        <v>10</v>
      </c>
      <c r="B29" s="185" t="s">
        <v>321</v>
      </c>
      <c r="C29" s="281">
        <v>6.9</v>
      </c>
      <c r="D29" s="281">
        <f>C29/A29</f>
        <v>0.6900000000000001</v>
      </c>
    </row>
    <row r="30" spans="1:4" ht="12.75">
      <c r="A30">
        <v>12</v>
      </c>
      <c r="B30" s="185" t="s">
        <v>320</v>
      </c>
      <c r="C30" s="281">
        <v>6</v>
      </c>
      <c r="D30" s="281">
        <f t="shared" si="0"/>
        <v>0.5</v>
      </c>
    </row>
    <row r="31" spans="1:4" ht="12.75">
      <c r="A31" s="185">
        <f>5*50</f>
        <v>250</v>
      </c>
      <c r="B31" s="185" t="s">
        <v>318</v>
      </c>
      <c r="C31" s="281">
        <v>52.5</v>
      </c>
      <c r="D31" s="281">
        <f t="shared" si="0"/>
        <v>0.21</v>
      </c>
    </row>
    <row r="32" spans="1:3" ht="12.75">
      <c r="A32" s="285">
        <f>SUM(A2:A31)</f>
        <v>984</v>
      </c>
      <c r="C32" s="286">
        <f>SUM(C2:C31)</f>
        <v>332.49999999999994</v>
      </c>
    </row>
  </sheetData>
  <sheetProtection/>
  <mergeCells count="2">
    <mergeCell ref="F1:S1"/>
    <mergeCell ref="A1:D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102"/>
  <sheetViews>
    <sheetView zoomScale="90" zoomScaleNormal="90" zoomScalePageLayoutView="0" workbookViewId="0" topLeftCell="A1">
      <selection activeCell="E32" sqref="E32"/>
    </sheetView>
  </sheetViews>
  <sheetFormatPr defaultColWidth="9.140625" defaultRowHeight="12.75"/>
  <cols>
    <col min="1" max="3" width="4.140625" style="0" bestFit="1" customWidth="1"/>
    <col min="4" max="4" width="2.28125" style="0" bestFit="1" customWidth="1"/>
    <col min="5" max="5" width="17.00390625" style="0" customWidth="1"/>
    <col min="6" max="6" width="11.00390625" style="0" bestFit="1" customWidth="1"/>
    <col min="7" max="7" width="5.00390625" style="0" bestFit="1" customWidth="1"/>
    <col min="8" max="8" width="11.28125" style="0" customWidth="1"/>
    <col min="9" max="9" width="3.57421875" style="0" customWidth="1"/>
    <col min="10" max="12" width="4.140625" style="0" customWidth="1"/>
    <col min="13" max="13" width="2.28125" style="0" bestFit="1" customWidth="1"/>
    <col min="14" max="14" width="17.00390625" style="0" customWidth="1"/>
    <col min="15" max="15" width="11.00390625" style="0" bestFit="1" customWidth="1"/>
    <col min="16" max="16" width="4.57421875" style="0" customWidth="1"/>
    <col min="17" max="17" width="11.28125" style="0" customWidth="1"/>
  </cols>
  <sheetData>
    <row r="1" spans="1:26" ht="13.5" thickBot="1">
      <c r="A1" s="342" t="s">
        <v>1</v>
      </c>
      <c r="B1" s="343"/>
      <c r="C1" s="344"/>
      <c r="D1" s="209" t="s">
        <v>2</v>
      </c>
      <c r="E1" s="209" t="s">
        <v>0</v>
      </c>
      <c r="F1" s="209" t="s">
        <v>3</v>
      </c>
      <c r="G1" s="210" t="s">
        <v>19</v>
      </c>
      <c r="H1" s="211" t="s">
        <v>4</v>
      </c>
      <c r="I1" s="44"/>
      <c r="J1" s="342" t="s">
        <v>1</v>
      </c>
      <c r="K1" s="343"/>
      <c r="L1" s="344"/>
      <c r="M1" s="209" t="s">
        <v>2</v>
      </c>
      <c r="N1" s="209" t="s">
        <v>0</v>
      </c>
      <c r="O1" s="209" t="s">
        <v>3</v>
      </c>
      <c r="P1" s="210" t="s">
        <v>19</v>
      </c>
      <c r="Q1" s="211" t="s">
        <v>4</v>
      </c>
      <c r="R1" s="44"/>
      <c r="S1" s="44"/>
      <c r="T1" s="44"/>
      <c r="U1" s="44"/>
      <c r="V1" s="44"/>
      <c r="W1" s="44"/>
      <c r="X1" s="44"/>
      <c r="Y1" s="44"/>
      <c r="Z1" s="44"/>
    </row>
    <row r="2" spans="1:26" ht="12.75">
      <c r="A2" s="12">
        <v>1</v>
      </c>
      <c r="B2" s="13">
        <v>2</v>
      </c>
      <c r="C2" s="14">
        <v>3</v>
      </c>
      <c r="D2" s="19" t="s">
        <v>138</v>
      </c>
      <c r="E2" s="15" t="s">
        <v>243</v>
      </c>
      <c r="F2" s="16">
        <v>40342</v>
      </c>
      <c r="G2" s="202"/>
      <c r="H2" s="221"/>
      <c r="I2" s="44"/>
      <c r="J2" s="9">
        <v>151</v>
      </c>
      <c r="K2" s="6">
        <v>152</v>
      </c>
      <c r="L2" s="7">
        <v>153</v>
      </c>
      <c r="M2" s="20" t="s">
        <v>139</v>
      </c>
      <c r="N2" s="8" t="s">
        <v>206</v>
      </c>
      <c r="O2" s="11">
        <v>40341</v>
      </c>
      <c r="P2" s="202"/>
      <c r="Q2" s="221"/>
      <c r="R2" s="44"/>
      <c r="S2" s="44"/>
      <c r="T2" s="44"/>
      <c r="U2" s="44"/>
      <c r="V2" s="44"/>
      <c r="W2" s="44"/>
      <c r="X2" s="44"/>
      <c r="Y2" s="44"/>
      <c r="Z2" s="44"/>
    </row>
    <row r="3" spans="1:26" ht="12.75">
      <c r="A3" s="9">
        <v>4</v>
      </c>
      <c r="B3" s="6">
        <v>5</v>
      </c>
      <c r="C3" s="7">
        <v>6</v>
      </c>
      <c r="D3" s="20" t="s">
        <v>138</v>
      </c>
      <c r="E3" s="8" t="s">
        <v>244</v>
      </c>
      <c r="F3" s="16">
        <v>40342</v>
      </c>
      <c r="G3" s="202"/>
      <c r="H3" s="221"/>
      <c r="I3" s="44"/>
      <c r="J3" s="9">
        <v>154</v>
      </c>
      <c r="K3" s="6">
        <v>155</v>
      </c>
      <c r="L3" s="7">
        <v>156</v>
      </c>
      <c r="M3" s="20" t="s">
        <v>139</v>
      </c>
      <c r="N3" s="8" t="s">
        <v>207</v>
      </c>
      <c r="O3" s="11">
        <v>40341</v>
      </c>
      <c r="P3" s="202"/>
      <c r="Q3" s="221"/>
      <c r="R3" s="44"/>
      <c r="S3" s="44"/>
      <c r="T3" s="44"/>
      <c r="U3" s="44"/>
      <c r="V3" s="44"/>
      <c r="W3" s="44"/>
      <c r="X3" s="44"/>
      <c r="Y3" s="44"/>
      <c r="Z3" s="44"/>
    </row>
    <row r="4" spans="1:26" ht="12.75">
      <c r="A4" s="9">
        <v>7</v>
      </c>
      <c r="B4" s="6">
        <v>8</v>
      </c>
      <c r="C4" s="7">
        <v>9</v>
      </c>
      <c r="D4" s="20" t="s">
        <v>138</v>
      </c>
      <c r="E4" s="8" t="s">
        <v>245</v>
      </c>
      <c r="F4" s="16">
        <v>40342</v>
      </c>
      <c r="G4" s="202">
        <v>15</v>
      </c>
      <c r="H4" s="221">
        <v>40355</v>
      </c>
      <c r="I4" s="44"/>
      <c r="J4" s="9">
        <v>157</v>
      </c>
      <c r="K4" s="6">
        <v>158</v>
      </c>
      <c r="L4" s="7">
        <v>159</v>
      </c>
      <c r="M4" s="20" t="s">
        <v>139</v>
      </c>
      <c r="N4" s="8" t="s">
        <v>208</v>
      </c>
      <c r="O4" s="11">
        <v>40341</v>
      </c>
      <c r="P4" s="202">
        <v>15</v>
      </c>
      <c r="Q4" s="221">
        <v>40353</v>
      </c>
      <c r="R4" s="44"/>
      <c r="S4" s="44"/>
      <c r="T4" s="44"/>
      <c r="U4" s="44"/>
      <c r="V4" s="44"/>
      <c r="W4" s="44"/>
      <c r="X4" s="44"/>
      <c r="Y4" s="44"/>
      <c r="Z4" s="44"/>
    </row>
    <row r="5" spans="1:26" ht="12.75">
      <c r="A5" s="9">
        <v>10</v>
      </c>
      <c r="B5" s="6">
        <v>11</v>
      </c>
      <c r="C5" s="7">
        <v>12</v>
      </c>
      <c r="D5" s="20" t="s">
        <v>138</v>
      </c>
      <c r="E5" s="8" t="s">
        <v>246</v>
      </c>
      <c r="F5" s="16">
        <v>40342</v>
      </c>
      <c r="G5" s="202"/>
      <c r="H5" s="221"/>
      <c r="I5" s="44"/>
      <c r="J5" s="9">
        <v>160</v>
      </c>
      <c r="K5" s="6">
        <v>161</v>
      </c>
      <c r="L5" s="7">
        <v>162</v>
      </c>
      <c r="M5" s="20" t="s">
        <v>139</v>
      </c>
      <c r="N5" s="8" t="s">
        <v>209</v>
      </c>
      <c r="O5" s="11">
        <v>40341</v>
      </c>
      <c r="P5" s="202"/>
      <c r="Q5" s="221"/>
      <c r="R5" s="44"/>
      <c r="S5" s="44"/>
      <c r="T5" s="44"/>
      <c r="U5" s="44"/>
      <c r="V5" s="44"/>
      <c r="W5" s="44"/>
      <c r="X5" s="44"/>
      <c r="Y5" s="44"/>
      <c r="Z5" s="44"/>
    </row>
    <row r="6" spans="1:26" ht="12.75">
      <c r="A6" s="9">
        <v>13</v>
      </c>
      <c r="B6" s="6">
        <v>14</v>
      </c>
      <c r="C6" s="7">
        <v>15</v>
      </c>
      <c r="D6" s="20" t="s">
        <v>138</v>
      </c>
      <c r="E6" s="8" t="s">
        <v>247</v>
      </c>
      <c r="F6" s="16">
        <v>40342</v>
      </c>
      <c r="G6" s="202"/>
      <c r="H6" s="221"/>
      <c r="I6" s="44"/>
      <c r="J6" s="9">
        <v>163</v>
      </c>
      <c r="K6" s="6">
        <v>164</v>
      </c>
      <c r="L6" s="7">
        <v>165</v>
      </c>
      <c r="M6" s="20" t="s">
        <v>139</v>
      </c>
      <c r="N6" s="8" t="s">
        <v>210</v>
      </c>
      <c r="O6" s="11">
        <v>40341</v>
      </c>
      <c r="P6" s="202"/>
      <c r="Q6" s="221"/>
      <c r="R6" s="44"/>
      <c r="S6" s="44"/>
      <c r="T6" s="44"/>
      <c r="U6" s="44"/>
      <c r="V6" s="44"/>
      <c r="W6" s="44"/>
      <c r="X6" s="44"/>
      <c r="Y6" s="44"/>
      <c r="Z6" s="44"/>
    </row>
    <row r="7" spans="1:26" ht="12.75">
      <c r="A7" s="9">
        <v>16</v>
      </c>
      <c r="B7" s="6">
        <v>17</v>
      </c>
      <c r="C7" s="7">
        <v>18</v>
      </c>
      <c r="D7" s="20" t="s">
        <v>138</v>
      </c>
      <c r="E7" s="8" t="s">
        <v>248</v>
      </c>
      <c r="F7" s="16">
        <v>40342</v>
      </c>
      <c r="G7" s="202">
        <v>15</v>
      </c>
      <c r="H7" s="221">
        <v>40359</v>
      </c>
      <c r="I7" s="44"/>
      <c r="J7" s="9">
        <v>166</v>
      </c>
      <c r="K7" s="6">
        <v>167</v>
      </c>
      <c r="L7" s="7">
        <v>168</v>
      </c>
      <c r="M7" s="20" t="s">
        <v>139</v>
      </c>
      <c r="N7" s="8" t="s">
        <v>211</v>
      </c>
      <c r="O7" s="11">
        <v>40341</v>
      </c>
      <c r="P7" s="202">
        <v>15</v>
      </c>
      <c r="Q7" s="221">
        <v>40359</v>
      </c>
      <c r="R7" s="44"/>
      <c r="S7" s="44"/>
      <c r="T7" s="44"/>
      <c r="U7" s="44"/>
      <c r="V7" s="44"/>
      <c r="W7" s="44"/>
      <c r="X7" s="44"/>
      <c r="Y7" s="44"/>
      <c r="Z7" s="44"/>
    </row>
    <row r="8" spans="1:26" ht="12.75">
      <c r="A8" s="9">
        <v>19</v>
      </c>
      <c r="B8" s="6">
        <v>20</v>
      </c>
      <c r="C8" s="7">
        <v>21</v>
      </c>
      <c r="D8" s="20" t="s">
        <v>138</v>
      </c>
      <c r="E8" s="8" t="s">
        <v>249</v>
      </c>
      <c r="F8" s="16">
        <v>40342</v>
      </c>
      <c r="G8" s="202"/>
      <c r="H8" s="221"/>
      <c r="I8" s="44"/>
      <c r="J8" s="9">
        <v>169</v>
      </c>
      <c r="K8" s="6">
        <v>170</v>
      </c>
      <c r="L8" s="7">
        <v>171</v>
      </c>
      <c r="M8" s="20" t="s">
        <v>139</v>
      </c>
      <c r="N8" s="8" t="s">
        <v>212</v>
      </c>
      <c r="O8" s="11">
        <v>40341</v>
      </c>
      <c r="P8" s="202"/>
      <c r="Q8" s="221"/>
      <c r="R8" s="44"/>
      <c r="S8" s="44"/>
      <c r="T8" s="44"/>
      <c r="U8" s="44"/>
      <c r="V8" s="44"/>
      <c r="W8" s="44"/>
      <c r="X8" s="44"/>
      <c r="Y8" s="44"/>
      <c r="Z8" s="44"/>
    </row>
    <row r="9" spans="1:26" ht="12.75">
      <c r="A9" s="9">
        <v>22</v>
      </c>
      <c r="B9" s="6">
        <v>23</v>
      </c>
      <c r="C9" s="7">
        <v>24</v>
      </c>
      <c r="D9" s="20" t="s">
        <v>138</v>
      </c>
      <c r="E9" s="8" t="s">
        <v>250</v>
      </c>
      <c r="F9" s="16">
        <v>40342</v>
      </c>
      <c r="G9" s="202"/>
      <c r="H9" s="221"/>
      <c r="I9" s="44"/>
      <c r="J9" s="9">
        <v>172</v>
      </c>
      <c r="K9" s="6">
        <v>173</v>
      </c>
      <c r="L9" s="7">
        <v>174</v>
      </c>
      <c r="M9" s="20" t="s">
        <v>139</v>
      </c>
      <c r="N9" s="8" t="s">
        <v>213</v>
      </c>
      <c r="O9" s="11">
        <v>40341</v>
      </c>
      <c r="P9" s="202"/>
      <c r="Q9" s="221"/>
      <c r="R9" s="44"/>
      <c r="S9" s="44"/>
      <c r="T9" s="44"/>
      <c r="U9" s="44"/>
      <c r="V9" s="44"/>
      <c r="W9" s="44"/>
      <c r="X9" s="44"/>
      <c r="Y9" s="44"/>
      <c r="Z9" s="44"/>
    </row>
    <row r="10" spans="1:26" ht="12.75">
      <c r="A10" s="9">
        <v>25</v>
      </c>
      <c r="B10" s="6">
        <v>26</v>
      </c>
      <c r="C10" s="7">
        <v>27</v>
      </c>
      <c r="D10" s="20" t="s">
        <v>138</v>
      </c>
      <c r="E10" s="8" t="s">
        <v>251</v>
      </c>
      <c r="F10" s="16">
        <v>40342</v>
      </c>
      <c r="G10" s="202">
        <v>15</v>
      </c>
      <c r="H10" s="221">
        <v>40359</v>
      </c>
      <c r="I10" s="44"/>
      <c r="J10" s="9">
        <v>175</v>
      </c>
      <c r="K10" s="6">
        <v>176</v>
      </c>
      <c r="L10" s="7">
        <v>177</v>
      </c>
      <c r="M10" s="20" t="s">
        <v>139</v>
      </c>
      <c r="N10" s="8" t="s">
        <v>214</v>
      </c>
      <c r="O10" s="11">
        <v>40341</v>
      </c>
      <c r="P10" s="202">
        <v>15</v>
      </c>
      <c r="Q10" s="221">
        <v>40353</v>
      </c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>
      <c r="A11" s="9">
        <v>28</v>
      </c>
      <c r="B11" s="6">
        <v>29</v>
      </c>
      <c r="C11" s="7">
        <v>30</v>
      </c>
      <c r="D11" s="20" t="s">
        <v>138</v>
      </c>
      <c r="E11" s="8" t="s">
        <v>252</v>
      </c>
      <c r="F11" s="16">
        <v>40342</v>
      </c>
      <c r="G11" s="202">
        <v>15</v>
      </c>
      <c r="H11" s="221">
        <v>40359</v>
      </c>
      <c r="I11" s="44"/>
      <c r="J11" s="9">
        <v>178</v>
      </c>
      <c r="K11" s="6">
        <v>179</v>
      </c>
      <c r="L11" s="7">
        <v>180</v>
      </c>
      <c r="M11" s="20" t="s">
        <v>139</v>
      </c>
      <c r="N11" s="8" t="s">
        <v>200</v>
      </c>
      <c r="O11" s="11">
        <v>40341</v>
      </c>
      <c r="P11" s="202">
        <v>15</v>
      </c>
      <c r="Q11" s="221">
        <v>40353</v>
      </c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.75">
      <c r="A12" s="9">
        <v>31</v>
      </c>
      <c r="B12" s="6">
        <v>32</v>
      </c>
      <c r="C12" s="7">
        <v>33</v>
      </c>
      <c r="D12" s="20" t="s">
        <v>138</v>
      </c>
      <c r="E12" s="8" t="s">
        <v>193</v>
      </c>
      <c r="F12" s="16">
        <v>40342</v>
      </c>
      <c r="G12" s="202">
        <v>15</v>
      </c>
      <c r="H12" s="221">
        <v>40359</v>
      </c>
      <c r="I12" s="44"/>
      <c r="J12" s="9">
        <v>181</v>
      </c>
      <c r="K12" s="6">
        <v>182</v>
      </c>
      <c r="L12" s="7">
        <v>183</v>
      </c>
      <c r="M12" s="20" t="s">
        <v>139</v>
      </c>
      <c r="N12" s="8" t="s">
        <v>215</v>
      </c>
      <c r="O12" s="11">
        <v>40341</v>
      </c>
      <c r="P12" s="202">
        <v>15</v>
      </c>
      <c r="Q12" s="221">
        <v>40353</v>
      </c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.75">
      <c r="A13" s="9">
        <v>34</v>
      </c>
      <c r="B13" s="6">
        <v>35</v>
      </c>
      <c r="C13" s="236">
        <v>36</v>
      </c>
      <c r="D13" s="20" t="s">
        <v>138</v>
      </c>
      <c r="E13" s="8" t="s">
        <v>253</v>
      </c>
      <c r="F13" s="16">
        <v>40342</v>
      </c>
      <c r="G13" s="202">
        <v>10</v>
      </c>
      <c r="H13" s="221">
        <v>40359</v>
      </c>
      <c r="I13" s="44"/>
      <c r="J13" s="9">
        <v>184</v>
      </c>
      <c r="K13" s="6">
        <v>185</v>
      </c>
      <c r="L13" s="7">
        <v>186</v>
      </c>
      <c r="M13" s="20" t="s">
        <v>139</v>
      </c>
      <c r="N13" s="8" t="s">
        <v>216</v>
      </c>
      <c r="O13" s="11">
        <v>40341</v>
      </c>
      <c r="P13" s="202"/>
      <c r="Q13" s="221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>
      <c r="A14" s="9">
        <v>37</v>
      </c>
      <c r="B14" s="6">
        <v>38</v>
      </c>
      <c r="C14" s="7">
        <v>39</v>
      </c>
      <c r="D14" s="20" t="s">
        <v>138</v>
      </c>
      <c r="E14" s="8" t="s">
        <v>254</v>
      </c>
      <c r="F14" s="16">
        <v>40342</v>
      </c>
      <c r="G14" s="202">
        <v>15</v>
      </c>
      <c r="H14" s="221">
        <v>40359</v>
      </c>
      <c r="I14" s="44"/>
      <c r="J14" s="9">
        <v>187</v>
      </c>
      <c r="K14" s="6">
        <v>188</v>
      </c>
      <c r="L14" s="7">
        <v>189</v>
      </c>
      <c r="M14" s="20" t="s">
        <v>139</v>
      </c>
      <c r="N14" s="8" t="s">
        <v>217</v>
      </c>
      <c r="O14" s="11">
        <v>40341</v>
      </c>
      <c r="P14" s="202"/>
      <c r="Q14" s="221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>
      <c r="A15" s="9">
        <v>40</v>
      </c>
      <c r="B15" s="6">
        <v>41</v>
      </c>
      <c r="C15" s="7">
        <v>42</v>
      </c>
      <c r="D15" s="20" t="s">
        <v>138</v>
      </c>
      <c r="E15" s="8"/>
      <c r="F15" s="16"/>
      <c r="G15" s="202"/>
      <c r="H15" s="221"/>
      <c r="I15" s="44"/>
      <c r="J15" s="9">
        <v>190</v>
      </c>
      <c r="K15" s="6">
        <v>191</v>
      </c>
      <c r="L15" s="7">
        <v>192</v>
      </c>
      <c r="M15" s="20" t="s">
        <v>139</v>
      </c>
      <c r="N15" s="8" t="s">
        <v>218</v>
      </c>
      <c r="O15" s="11">
        <v>40341</v>
      </c>
      <c r="P15" s="202"/>
      <c r="Q15" s="221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>
      <c r="A16" s="9">
        <v>43</v>
      </c>
      <c r="B16" s="6">
        <v>44</v>
      </c>
      <c r="C16" s="7">
        <v>45</v>
      </c>
      <c r="D16" s="20" t="s">
        <v>138</v>
      </c>
      <c r="E16" s="8" t="s">
        <v>255</v>
      </c>
      <c r="F16" s="16">
        <v>40342</v>
      </c>
      <c r="G16" s="202">
        <v>15</v>
      </c>
      <c r="H16" s="221">
        <v>40359</v>
      </c>
      <c r="I16" s="44"/>
      <c r="J16" s="9">
        <v>193</v>
      </c>
      <c r="K16" s="6">
        <v>194</v>
      </c>
      <c r="L16" s="7">
        <v>195</v>
      </c>
      <c r="M16" s="20" t="s">
        <v>139</v>
      </c>
      <c r="N16" s="8" t="s">
        <v>219</v>
      </c>
      <c r="O16" s="11">
        <v>40341</v>
      </c>
      <c r="P16" s="202">
        <v>15</v>
      </c>
      <c r="Q16" s="221">
        <v>40353</v>
      </c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thickBot="1">
      <c r="A17" s="242">
        <v>46</v>
      </c>
      <c r="B17" s="230">
        <v>47</v>
      </c>
      <c r="C17" s="231">
        <v>48</v>
      </c>
      <c r="D17" s="232" t="s">
        <v>138</v>
      </c>
      <c r="E17" s="25"/>
      <c r="F17" s="233"/>
      <c r="G17" s="234"/>
      <c r="H17" s="235"/>
      <c r="I17" s="44"/>
      <c r="J17" s="9">
        <v>196</v>
      </c>
      <c r="K17" s="6">
        <v>197</v>
      </c>
      <c r="L17" s="7">
        <v>198</v>
      </c>
      <c r="M17" s="20" t="s">
        <v>139</v>
      </c>
      <c r="N17" s="8" t="s">
        <v>220</v>
      </c>
      <c r="O17" s="11">
        <v>40341</v>
      </c>
      <c r="P17" s="202"/>
      <c r="Q17" s="221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>
      <c r="A18" s="12">
        <v>49</v>
      </c>
      <c r="B18" s="13">
        <v>50</v>
      </c>
      <c r="C18" s="14">
        <v>51</v>
      </c>
      <c r="D18" s="19" t="s">
        <v>256</v>
      </c>
      <c r="E18" s="15" t="s">
        <v>257</v>
      </c>
      <c r="F18" s="16">
        <v>40342</v>
      </c>
      <c r="G18" s="202">
        <v>15</v>
      </c>
      <c r="H18" s="228">
        <v>40359</v>
      </c>
      <c r="I18" s="44"/>
      <c r="J18" s="9">
        <v>199</v>
      </c>
      <c r="K18" s="6">
        <v>200</v>
      </c>
      <c r="L18" s="7">
        <v>201</v>
      </c>
      <c r="M18" s="20" t="s">
        <v>139</v>
      </c>
      <c r="N18" s="8" t="s">
        <v>221</v>
      </c>
      <c r="O18" s="11">
        <v>40341</v>
      </c>
      <c r="P18" s="202"/>
      <c r="Q18" s="221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thickBot="1">
      <c r="A19" s="229">
        <v>52</v>
      </c>
      <c r="B19" s="230">
        <v>53</v>
      </c>
      <c r="C19" s="231">
        <v>54</v>
      </c>
      <c r="D19" s="232" t="s">
        <v>256</v>
      </c>
      <c r="E19" s="25" t="s">
        <v>258</v>
      </c>
      <c r="F19" s="233">
        <v>40342</v>
      </c>
      <c r="G19" s="234">
        <v>15</v>
      </c>
      <c r="H19" s="235">
        <v>40359</v>
      </c>
      <c r="I19" s="44"/>
      <c r="J19" s="9">
        <v>202</v>
      </c>
      <c r="K19" s="6">
        <v>203</v>
      </c>
      <c r="L19" s="7">
        <v>204</v>
      </c>
      <c r="M19" s="20" t="s">
        <v>139</v>
      </c>
      <c r="N19" s="8" t="s">
        <v>222</v>
      </c>
      <c r="O19" s="11">
        <v>40341</v>
      </c>
      <c r="P19" s="202">
        <v>15</v>
      </c>
      <c r="Q19" s="221">
        <v>40359</v>
      </c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>
      <c r="A20" s="12">
        <v>55</v>
      </c>
      <c r="B20" s="13">
        <v>56</v>
      </c>
      <c r="C20" s="14">
        <v>57</v>
      </c>
      <c r="D20" s="19" t="s">
        <v>7</v>
      </c>
      <c r="E20" s="15" t="s">
        <v>183</v>
      </c>
      <c r="F20" s="16">
        <v>40341</v>
      </c>
      <c r="G20" s="202">
        <v>15</v>
      </c>
      <c r="H20" s="228">
        <v>40353</v>
      </c>
      <c r="I20" s="44"/>
      <c r="J20" s="9">
        <v>205</v>
      </c>
      <c r="K20" s="6">
        <v>206</v>
      </c>
      <c r="L20" s="7">
        <v>207</v>
      </c>
      <c r="M20" s="20" t="s">
        <v>139</v>
      </c>
      <c r="N20" s="8" t="s">
        <v>223</v>
      </c>
      <c r="O20" s="11">
        <v>40341</v>
      </c>
      <c r="P20" s="202"/>
      <c r="Q20" s="221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>
      <c r="A21" s="9">
        <v>58</v>
      </c>
      <c r="B21" s="6">
        <v>59</v>
      </c>
      <c r="C21" s="7">
        <v>60</v>
      </c>
      <c r="D21" s="20" t="s">
        <v>7</v>
      </c>
      <c r="E21" s="8" t="s">
        <v>184</v>
      </c>
      <c r="F21" s="11">
        <v>40341</v>
      </c>
      <c r="G21" s="202">
        <v>15</v>
      </c>
      <c r="H21" s="221">
        <v>40350</v>
      </c>
      <c r="I21" s="44"/>
      <c r="J21" s="9">
        <v>208</v>
      </c>
      <c r="K21" s="6">
        <v>209</v>
      </c>
      <c r="L21" s="7">
        <v>210</v>
      </c>
      <c r="M21" s="20" t="s">
        <v>139</v>
      </c>
      <c r="N21" s="8" t="s">
        <v>224</v>
      </c>
      <c r="O21" s="11">
        <v>40341</v>
      </c>
      <c r="P21" s="202"/>
      <c r="Q21" s="221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>
      <c r="A22" s="9">
        <v>61</v>
      </c>
      <c r="B22" s="6">
        <v>62</v>
      </c>
      <c r="C22" s="7">
        <v>63</v>
      </c>
      <c r="D22" s="20" t="s">
        <v>7</v>
      </c>
      <c r="E22" s="8" t="s">
        <v>185</v>
      </c>
      <c r="F22" s="11">
        <v>40341</v>
      </c>
      <c r="G22" s="202"/>
      <c r="H22" s="221"/>
      <c r="I22" s="44"/>
      <c r="J22" s="9">
        <v>211</v>
      </c>
      <c r="K22" s="6">
        <v>212</v>
      </c>
      <c r="L22" s="7">
        <v>213</v>
      </c>
      <c r="M22" s="20" t="s">
        <v>139</v>
      </c>
      <c r="N22" s="8" t="s">
        <v>225</v>
      </c>
      <c r="O22" s="11">
        <v>40341</v>
      </c>
      <c r="P22" s="202"/>
      <c r="Q22" s="221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.75">
      <c r="A23" s="9">
        <v>64</v>
      </c>
      <c r="B23" s="6">
        <v>65</v>
      </c>
      <c r="C23" s="7">
        <v>66</v>
      </c>
      <c r="D23" s="20" t="s">
        <v>7</v>
      </c>
      <c r="E23" s="8" t="s">
        <v>186</v>
      </c>
      <c r="F23" s="11">
        <v>40341</v>
      </c>
      <c r="G23" s="202"/>
      <c r="H23" s="221"/>
      <c r="I23" s="44"/>
      <c r="J23" s="9">
        <v>214</v>
      </c>
      <c r="K23" s="6">
        <v>215</v>
      </c>
      <c r="L23" s="7">
        <v>216</v>
      </c>
      <c r="M23" s="20" t="s">
        <v>139</v>
      </c>
      <c r="N23" s="8" t="s">
        <v>226</v>
      </c>
      <c r="O23" s="11">
        <v>40341</v>
      </c>
      <c r="P23" s="202"/>
      <c r="Q23" s="221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.75">
      <c r="A24" s="9">
        <v>67</v>
      </c>
      <c r="B24" s="6">
        <v>68</v>
      </c>
      <c r="C24" s="7">
        <v>69</v>
      </c>
      <c r="D24" s="20" t="s">
        <v>7</v>
      </c>
      <c r="E24" s="8" t="s">
        <v>190</v>
      </c>
      <c r="F24" s="11">
        <v>40341</v>
      </c>
      <c r="G24" s="202">
        <v>15</v>
      </c>
      <c r="H24" s="221">
        <v>40353</v>
      </c>
      <c r="I24" s="44"/>
      <c r="J24" s="9">
        <v>217</v>
      </c>
      <c r="K24" s="6">
        <v>218</v>
      </c>
      <c r="L24" s="7">
        <v>219</v>
      </c>
      <c r="M24" s="20" t="s">
        <v>139</v>
      </c>
      <c r="N24" s="8" t="s">
        <v>227</v>
      </c>
      <c r="O24" s="227">
        <v>40341</v>
      </c>
      <c r="P24" s="202"/>
      <c r="Q24" s="221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>
      <c r="A25" s="9">
        <v>70</v>
      </c>
      <c r="B25" s="6">
        <v>71</v>
      </c>
      <c r="C25" s="7">
        <v>72</v>
      </c>
      <c r="D25" s="20" t="s">
        <v>7</v>
      </c>
      <c r="E25" s="8" t="s">
        <v>187</v>
      </c>
      <c r="F25" s="11">
        <v>40341</v>
      </c>
      <c r="G25" s="202"/>
      <c r="H25" s="221"/>
      <c r="I25" s="44"/>
      <c r="J25" s="9">
        <v>220</v>
      </c>
      <c r="K25" s="6">
        <v>221</v>
      </c>
      <c r="L25" s="7">
        <v>222</v>
      </c>
      <c r="M25" s="20" t="s">
        <v>139</v>
      </c>
      <c r="N25" s="8" t="s">
        <v>228</v>
      </c>
      <c r="O25" s="11">
        <v>40341</v>
      </c>
      <c r="P25" s="202">
        <v>15</v>
      </c>
      <c r="Q25" s="221">
        <v>40353</v>
      </c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>
      <c r="A26" s="9">
        <v>73</v>
      </c>
      <c r="B26" s="6">
        <v>74</v>
      </c>
      <c r="C26" s="7">
        <v>75</v>
      </c>
      <c r="D26" s="20" t="s">
        <v>7</v>
      </c>
      <c r="E26" s="8" t="s">
        <v>188</v>
      </c>
      <c r="F26" s="11">
        <v>40341</v>
      </c>
      <c r="G26" s="202">
        <v>15</v>
      </c>
      <c r="H26" s="221">
        <v>40353</v>
      </c>
      <c r="I26" s="44"/>
      <c r="J26" s="9">
        <v>223</v>
      </c>
      <c r="K26" s="6">
        <v>224</v>
      </c>
      <c r="L26" s="7">
        <v>225</v>
      </c>
      <c r="M26" s="20" t="s">
        <v>139</v>
      </c>
      <c r="N26" s="8" t="s">
        <v>186</v>
      </c>
      <c r="O26" s="11">
        <v>40341</v>
      </c>
      <c r="P26" s="202">
        <v>15</v>
      </c>
      <c r="Q26" s="221">
        <v>40359</v>
      </c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>
      <c r="A27" s="9">
        <v>76</v>
      </c>
      <c r="B27" s="6">
        <v>77</v>
      </c>
      <c r="C27" s="7">
        <v>78</v>
      </c>
      <c r="D27" s="20" t="s">
        <v>7</v>
      </c>
      <c r="E27" s="8" t="s">
        <v>189</v>
      </c>
      <c r="F27" s="11">
        <v>40341</v>
      </c>
      <c r="G27" s="202"/>
      <c r="H27" s="221"/>
      <c r="I27" s="44"/>
      <c r="J27" s="9">
        <v>226</v>
      </c>
      <c r="K27" s="6">
        <v>227</v>
      </c>
      <c r="L27" s="7">
        <v>228</v>
      </c>
      <c r="M27" s="20" t="s">
        <v>139</v>
      </c>
      <c r="N27" s="8" t="s">
        <v>208</v>
      </c>
      <c r="O27" s="11">
        <v>40341</v>
      </c>
      <c r="P27" s="202">
        <v>15</v>
      </c>
      <c r="Q27" s="221">
        <v>40353</v>
      </c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>
      <c r="A28" s="9">
        <v>79</v>
      </c>
      <c r="B28" s="6">
        <v>80</v>
      </c>
      <c r="C28" s="7">
        <v>81</v>
      </c>
      <c r="D28" s="20" t="s">
        <v>7</v>
      </c>
      <c r="E28" s="8" t="s">
        <v>260</v>
      </c>
      <c r="F28" s="11">
        <v>40341</v>
      </c>
      <c r="G28" s="202">
        <v>15</v>
      </c>
      <c r="H28" s="221">
        <v>40353</v>
      </c>
      <c r="I28" s="44"/>
      <c r="J28" s="9">
        <v>229</v>
      </c>
      <c r="K28" s="6">
        <v>230</v>
      </c>
      <c r="L28" s="7">
        <v>231</v>
      </c>
      <c r="M28" s="20" t="s">
        <v>139</v>
      </c>
      <c r="N28" s="8" t="s">
        <v>231</v>
      </c>
      <c r="O28" s="11">
        <v>40341</v>
      </c>
      <c r="P28" s="202"/>
      <c r="Q28" s="221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>
      <c r="A29" s="9">
        <v>82</v>
      </c>
      <c r="B29" s="6">
        <v>83</v>
      </c>
      <c r="C29" s="7">
        <v>84</v>
      </c>
      <c r="D29" s="20" t="s">
        <v>7</v>
      </c>
      <c r="E29" s="8" t="s">
        <v>191</v>
      </c>
      <c r="F29" s="11">
        <v>40341</v>
      </c>
      <c r="G29" s="202">
        <v>15</v>
      </c>
      <c r="H29" s="221">
        <v>40353</v>
      </c>
      <c r="I29" s="44"/>
      <c r="J29" s="9">
        <v>232</v>
      </c>
      <c r="K29" s="6">
        <v>233</v>
      </c>
      <c r="L29" s="7">
        <v>234</v>
      </c>
      <c r="M29" s="20" t="s">
        <v>139</v>
      </c>
      <c r="N29" s="8" t="s">
        <v>240</v>
      </c>
      <c r="O29" s="11">
        <v>40350</v>
      </c>
      <c r="P29" s="202">
        <v>15</v>
      </c>
      <c r="Q29" s="221">
        <v>40353</v>
      </c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>
      <c r="A30" s="9">
        <v>85</v>
      </c>
      <c r="B30" s="6">
        <v>86</v>
      </c>
      <c r="C30" s="7">
        <v>87</v>
      </c>
      <c r="D30" s="20" t="s">
        <v>7</v>
      </c>
      <c r="E30" s="8" t="s">
        <v>192</v>
      </c>
      <c r="F30" s="11">
        <v>40341</v>
      </c>
      <c r="G30" s="202"/>
      <c r="H30" s="221"/>
      <c r="I30" s="44"/>
      <c r="J30" s="9">
        <v>235</v>
      </c>
      <c r="K30" s="6">
        <v>236</v>
      </c>
      <c r="L30" s="7">
        <v>237</v>
      </c>
      <c r="M30" s="20" t="s">
        <v>139</v>
      </c>
      <c r="N30" s="8" t="s">
        <v>230</v>
      </c>
      <c r="O30" s="11">
        <v>40341</v>
      </c>
      <c r="P30" s="202"/>
      <c r="Q30" s="221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>
      <c r="A31" s="9">
        <v>88</v>
      </c>
      <c r="B31" s="6">
        <v>89</v>
      </c>
      <c r="C31" s="7">
        <v>90</v>
      </c>
      <c r="D31" s="20" t="s">
        <v>7</v>
      </c>
      <c r="E31" s="8" t="s">
        <v>193</v>
      </c>
      <c r="F31" s="11">
        <v>40341</v>
      </c>
      <c r="G31" s="202">
        <v>15</v>
      </c>
      <c r="H31" s="221">
        <v>40353</v>
      </c>
      <c r="I31" s="44"/>
      <c r="J31" s="9">
        <v>238</v>
      </c>
      <c r="K31" s="6">
        <v>239</v>
      </c>
      <c r="L31" s="7">
        <v>240</v>
      </c>
      <c r="M31" s="20" t="s">
        <v>139</v>
      </c>
      <c r="N31" s="8" t="s">
        <v>229</v>
      </c>
      <c r="O31" s="11">
        <v>40341</v>
      </c>
      <c r="P31" s="202"/>
      <c r="Q31" s="221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>
      <c r="A32" s="9">
        <v>91</v>
      </c>
      <c r="B32" s="6">
        <v>92</v>
      </c>
      <c r="C32" s="7">
        <v>93</v>
      </c>
      <c r="D32" s="20" t="s">
        <v>7</v>
      </c>
      <c r="E32" s="8" t="s">
        <v>194</v>
      </c>
      <c r="F32" s="11">
        <v>40341</v>
      </c>
      <c r="G32" s="202"/>
      <c r="H32" s="221"/>
      <c r="I32" s="44"/>
      <c r="J32" s="9">
        <v>241</v>
      </c>
      <c r="K32" s="6">
        <v>242</v>
      </c>
      <c r="L32" s="7">
        <v>243</v>
      </c>
      <c r="M32" s="20" t="s">
        <v>139</v>
      </c>
      <c r="N32" s="8" t="s">
        <v>230</v>
      </c>
      <c r="O32" s="11">
        <v>40341</v>
      </c>
      <c r="P32" s="202"/>
      <c r="Q32" s="221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>
      <c r="A33" s="9">
        <v>94</v>
      </c>
      <c r="B33" s="6">
        <v>95</v>
      </c>
      <c r="C33" s="7">
        <v>96</v>
      </c>
      <c r="D33" s="20" t="s">
        <v>7</v>
      </c>
      <c r="E33" s="8" t="s">
        <v>195</v>
      </c>
      <c r="F33" s="11">
        <v>40341</v>
      </c>
      <c r="G33" s="202"/>
      <c r="H33" s="221"/>
      <c r="I33" s="44"/>
      <c r="J33" s="9">
        <v>244</v>
      </c>
      <c r="K33" s="6">
        <v>245</v>
      </c>
      <c r="L33" s="7">
        <v>246</v>
      </c>
      <c r="M33" s="20" t="s">
        <v>139</v>
      </c>
      <c r="N33" s="8" t="s">
        <v>231</v>
      </c>
      <c r="O33" s="11">
        <v>40341</v>
      </c>
      <c r="P33" s="202"/>
      <c r="Q33" s="221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thickBot="1">
      <c r="A34" s="9">
        <v>97</v>
      </c>
      <c r="B34" s="6">
        <v>98</v>
      </c>
      <c r="C34" s="7">
        <v>99</v>
      </c>
      <c r="D34" s="20" t="s">
        <v>7</v>
      </c>
      <c r="E34" s="8" t="s">
        <v>196</v>
      </c>
      <c r="F34" s="11">
        <v>40341</v>
      </c>
      <c r="G34" s="202"/>
      <c r="H34" s="221"/>
      <c r="I34" s="44"/>
      <c r="J34" s="229">
        <v>247</v>
      </c>
      <c r="K34" s="230">
        <v>248</v>
      </c>
      <c r="L34" s="231">
        <v>249</v>
      </c>
      <c r="M34" s="232" t="s">
        <v>139</v>
      </c>
      <c r="N34" s="25" t="s">
        <v>232</v>
      </c>
      <c r="O34" s="233">
        <v>40341</v>
      </c>
      <c r="P34" s="234"/>
      <c r="Q34" s="235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>
      <c r="A35" s="9">
        <v>100</v>
      </c>
      <c r="B35" s="6">
        <v>101</v>
      </c>
      <c r="C35" s="7">
        <v>102</v>
      </c>
      <c r="D35" s="20" t="s">
        <v>7</v>
      </c>
      <c r="E35" s="8" t="s">
        <v>197</v>
      </c>
      <c r="F35" s="11">
        <v>40341</v>
      </c>
      <c r="G35" s="202"/>
      <c r="H35" s="221"/>
      <c r="I35" s="44"/>
      <c r="J35" s="12">
        <v>250</v>
      </c>
      <c r="K35" s="13">
        <v>251</v>
      </c>
      <c r="L35" s="14">
        <v>252</v>
      </c>
      <c r="M35" s="19" t="s">
        <v>140</v>
      </c>
      <c r="N35" s="15" t="s">
        <v>263</v>
      </c>
      <c r="O35" s="16">
        <v>40353</v>
      </c>
      <c r="P35" s="202">
        <v>15</v>
      </c>
      <c r="Q35" s="228">
        <v>40353</v>
      </c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>
      <c r="A36" s="9">
        <v>103</v>
      </c>
      <c r="B36" s="6">
        <v>104</v>
      </c>
      <c r="C36" s="7">
        <v>105</v>
      </c>
      <c r="D36" s="20" t="s">
        <v>7</v>
      </c>
      <c r="E36" s="8" t="s">
        <v>198</v>
      </c>
      <c r="F36" s="11">
        <v>40341</v>
      </c>
      <c r="G36" s="202"/>
      <c r="H36" s="221"/>
      <c r="I36" s="44"/>
      <c r="J36" s="9">
        <v>253</v>
      </c>
      <c r="K36" s="6">
        <v>254</v>
      </c>
      <c r="L36" s="7">
        <v>255</v>
      </c>
      <c r="M36" s="20" t="s">
        <v>140</v>
      </c>
      <c r="N36" s="8" t="s">
        <v>263</v>
      </c>
      <c r="O36" s="11">
        <v>40353</v>
      </c>
      <c r="P36" s="202">
        <v>15</v>
      </c>
      <c r="Q36" s="221">
        <v>40353</v>
      </c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>
      <c r="A37" s="9">
        <v>106</v>
      </c>
      <c r="B37" s="6">
        <v>107</v>
      </c>
      <c r="C37" s="7">
        <v>108</v>
      </c>
      <c r="D37" s="20" t="s">
        <v>7</v>
      </c>
      <c r="E37" s="8" t="s">
        <v>199</v>
      </c>
      <c r="F37" s="11">
        <v>40341</v>
      </c>
      <c r="G37" s="202"/>
      <c r="H37" s="221"/>
      <c r="I37" s="44"/>
      <c r="J37" s="9">
        <v>256</v>
      </c>
      <c r="K37" s="6">
        <v>257</v>
      </c>
      <c r="L37" s="7">
        <v>258</v>
      </c>
      <c r="M37" s="20" t="s">
        <v>140</v>
      </c>
      <c r="N37" s="8" t="s">
        <v>263</v>
      </c>
      <c r="O37" s="11">
        <v>40353</v>
      </c>
      <c r="P37" s="202">
        <v>10</v>
      </c>
      <c r="Q37" s="221">
        <v>40353</v>
      </c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>
      <c r="A38" s="9">
        <v>109</v>
      </c>
      <c r="B38" s="6">
        <v>110</v>
      </c>
      <c r="C38" s="7">
        <v>111</v>
      </c>
      <c r="D38" s="20" t="s">
        <v>7</v>
      </c>
      <c r="E38" s="8" t="s">
        <v>200</v>
      </c>
      <c r="F38" s="11">
        <v>40341</v>
      </c>
      <c r="G38" s="202"/>
      <c r="H38" s="221"/>
      <c r="I38" s="44"/>
      <c r="J38" s="9">
        <v>259</v>
      </c>
      <c r="K38" s="6">
        <v>260</v>
      </c>
      <c r="L38" s="7">
        <v>261</v>
      </c>
      <c r="M38" s="20" t="s">
        <v>140</v>
      </c>
      <c r="N38" s="8" t="s">
        <v>264</v>
      </c>
      <c r="O38" s="11">
        <v>40353</v>
      </c>
      <c r="P38" s="202"/>
      <c r="Q38" s="221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>
      <c r="A39" s="9">
        <v>112</v>
      </c>
      <c r="B39" s="6">
        <v>113</v>
      </c>
      <c r="C39" s="7">
        <v>114</v>
      </c>
      <c r="D39" s="20" t="s">
        <v>7</v>
      </c>
      <c r="E39" s="8" t="s">
        <v>259</v>
      </c>
      <c r="F39" s="11">
        <v>40341</v>
      </c>
      <c r="G39" s="202">
        <v>15</v>
      </c>
      <c r="H39" s="221">
        <v>40353</v>
      </c>
      <c r="I39" s="44"/>
      <c r="J39" s="9">
        <v>262</v>
      </c>
      <c r="K39" s="6">
        <v>263</v>
      </c>
      <c r="L39" s="7">
        <v>264</v>
      </c>
      <c r="M39" s="20" t="s">
        <v>140</v>
      </c>
      <c r="N39" s="8" t="s">
        <v>265</v>
      </c>
      <c r="O39" s="11">
        <v>40353</v>
      </c>
      <c r="P39" s="202">
        <v>15</v>
      </c>
      <c r="Q39" s="221">
        <v>40353</v>
      </c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thickBot="1">
      <c r="A40" s="9">
        <v>115</v>
      </c>
      <c r="B40" s="6">
        <v>116</v>
      </c>
      <c r="C40" s="7">
        <v>117</v>
      </c>
      <c r="D40" s="20" t="s">
        <v>7</v>
      </c>
      <c r="E40" s="8" t="s">
        <v>201</v>
      </c>
      <c r="F40" s="11">
        <v>40341</v>
      </c>
      <c r="G40" s="202"/>
      <c r="H40" s="221"/>
      <c r="I40" s="44"/>
      <c r="J40" s="229">
        <v>265</v>
      </c>
      <c r="K40" s="230">
        <v>266</v>
      </c>
      <c r="L40" s="231">
        <v>267</v>
      </c>
      <c r="M40" s="232" t="s">
        <v>140</v>
      </c>
      <c r="N40" s="25" t="s">
        <v>266</v>
      </c>
      <c r="O40" s="233">
        <v>40353</v>
      </c>
      <c r="P40" s="234">
        <v>15</v>
      </c>
      <c r="Q40" s="235">
        <v>40353</v>
      </c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>
      <c r="A41" s="9">
        <v>118</v>
      </c>
      <c r="B41" s="6">
        <v>119</v>
      </c>
      <c r="C41" s="7">
        <v>120</v>
      </c>
      <c r="D41" s="20" t="s">
        <v>7</v>
      </c>
      <c r="E41" s="8" t="s">
        <v>202</v>
      </c>
      <c r="F41" s="11">
        <v>40341</v>
      </c>
      <c r="G41" s="202"/>
      <c r="H41" s="221"/>
      <c r="I41" s="44"/>
      <c r="J41" s="12">
        <v>268</v>
      </c>
      <c r="K41" s="13">
        <v>269</v>
      </c>
      <c r="L41" s="14">
        <v>270</v>
      </c>
      <c r="M41" s="19" t="s">
        <v>139</v>
      </c>
      <c r="N41" s="15" t="s">
        <v>267</v>
      </c>
      <c r="O41" s="16">
        <v>40353</v>
      </c>
      <c r="P41" s="202">
        <v>15</v>
      </c>
      <c r="Q41" s="228">
        <v>40353</v>
      </c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>
      <c r="A42" s="9">
        <v>121</v>
      </c>
      <c r="B42" s="6">
        <v>122</v>
      </c>
      <c r="C42" s="7">
        <v>123</v>
      </c>
      <c r="D42" s="20" t="s">
        <v>7</v>
      </c>
      <c r="E42" s="8" t="s">
        <v>203</v>
      </c>
      <c r="F42" s="11">
        <v>40341</v>
      </c>
      <c r="G42" s="202"/>
      <c r="H42" s="221"/>
      <c r="I42" s="44"/>
      <c r="J42" s="9">
        <v>271</v>
      </c>
      <c r="K42" s="6">
        <v>272</v>
      </c>
      <c r="L42" s="236">
        <v>273</v>
      </c>
      <c r="M42" s="20" t="s">
        <v>139</v>
      </c>
      <c r="N42" s="8" t="s">
        <v>267</v>
      </c>
      <c r="O42" s="11">
        <v>40353</v>
      </c>
      <c r="P42" s="202">
        <v>10</v>
      </c>
      <c r="Q42" s="221">
        <v>40353</v>
      </c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>
      <c r="A43" s="9">
        <v>124</v>
      </c>
      <c r="B43" s="6">
        <v>125</v>
      </c>
      <c r="C43" s="7">
        <v>126</v>
      </c>
      <c r="D43" s="20" t="s">
        <v>7</v>
      </c>
      <c r="E43" s="8" t="s">
        <v>204</v>
      </c>
      <c r="F43" s="11">
        <v>40341</v>
      </c>
      <c r="G43" s="202">
        <v>15</v>
      </c>
      <c r="H43" s="221">
        <v>40353</v>
      </c>
      <c r="I43" s="44"/>
      <c r="J43" s="9">
        <v>274</v>
      </c>
      <c r="K43" s="6">
        <v>275</v>
      </c>
      <c r="L43" s="7">
        <v>276</v>
      </c>
      <c r="M43" s="20" t="s">
        <v>139</v>
      </c>
      <c r="N43" s="8" t="s">
        <v>223</v>
      </c>
      <c r="O43" s="11">
        <v>40353</v>
      </c>
      <c r="P43" s="202"/>
      <c r="Q43" s="221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>
      <c r="A44" s="9">
        <v>127</v>
      </c>
      <c r="B44" s="6">
        <v>128</v>
      </c>
      <c r="C44" s="7">
        <v>129</v>
      </c>
      <c r="D44" s="20" t="s">
        <v>7</v>
      </c>
      <c r="E44" s="8" t="s">
        <v>184</v>
      </c>
      <c r="F44" s="11">
        <v>40341</v>
      </c>
      <c r="G44" s="202">
        <v>15</v>
      </c>
      <c r="H44" s="221">
        <v>40350</v>
      </c>
      <c r="I44" s="44"/>
      <c r="J44" s="9">
        <v>277</v>
      </c>
      <c r="K44" s="6">
        <v>278</v>
      </c>
      <c r="L44" s="7">
        <v>279</v>
      </c>
      <c r="M44" s="20" t="s">
        <v>139</v>
      </c>
      <c r="N44" s="8" t="s">
        <v>223</v>
      </c>
      <c r="O44" s="11">
        <v>40353</v>
      </c>
      <c r="P44" s="202"/>
      <c r="Q44" s="221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>
      <c r="A45" s="9">
        <v>130</v>
      </c>
      <c r="B45" s="6">
        <v>131</v>
      </c>
      <c r="C45" s="7">
        <v>132</v>
      </c>
      <c r="D45" s="20" t="s">
        <v>7</v>
      </c>
      <c r="E45" s="8" t="s">
        <v>241</v>
      </c>
      <c r="F45" s="16">
        <v>40350</v>
      </c>
      <c r="G45" s="202">
        <v>15</v>
      </c>
      <c r="H45" s="221">
        <v>40355</v>
      </c>
      <c r="I45" s="44"/>
      <c r="J45" s="9">
        <v>280</v>
      </c>
      <c r="K45" s="6">
        <v>281</v>
      </c>
      <c r="L45" s="7">
        <v>282</v>
      </c>
      <c r="M45" s="20" t="s">
        <v>139</v>
      </c>
      <c r="N45" s="8" t="s">
        <v>223</v>
      </c>
      <c r="O45" s="11">
        <v>40353</v>
      </c>
      <c r="P45" s="202"/>
      <c r="Q45" s="221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>
      <c r="A46" s="9">
        <v>133</v>
      </c>
      <c r="B46" s="6">
        <v>134</v>
      </c>
      <c r="C46" s="7">
        <v>135</v>
      </c>
      <c r="D46" s="20" t="s">
        <v>7</v>
      </c>
      <c r="E46" s="8" t="s">
        <v>233</v>
      </c>
      <c r="F46" s="16">
        <v>40350</v>
      </c>
      <c r="G46" s="202"/>
      <c r="H46" s="221"/>
      <c r="I46" s="44"/>
      <c r="J46" s="9">
        <v>283</v>
      </c>
      <c r="K46" s="6">
        <v>284</v>
      </c>
      <c r="L46" s="7">
        <v>285</v>
      </c>
      <c r="M46" s="20" t="s">
        <v>139</v>
      </c>
      <c r="N46" s="8" t="s">
        <v>230</v>
      </c>
      <c r="O46" s="11">
        <v>40353</v>
      </c>
      <c r="P46" s="202"/>
      <c r="Q46" s="221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>
      <c r="A47" s="9">
        <v>136</v>
      </c>
      <c r="B47" s="6">
        <v>137</v>
      </c>
      <c r="C47" s="7">
        <v>138</v>
      </c>
      <c r="D47" s="20" t="s">
        <v>7</v>
      </c>
      <c r="E47" s="8" t="s">
        <v>241</v>
      </c>
      <c r="F47" s="16">
        <v>40350</v>
      </c>
      <c r="G47" s="202">
        <v>15</v>
      </c>
      <c r="H47" s="221">
        <v>40355</v>
      </c>
      <c r="I47" s="44"/>
      <c r="J47" s="9">
        <v>286</v>
      </c>
      <c r="K47" s="6">
        <v>287</v>
      </c>
      <c r="L47" s="7">
        <v>288</v>
      </c>
      <c r="M47" s="20" t="s">
        <v>139</v>
      </c>
      <c r="N47" s="8" t="s">
        <v>230</v>
      </c>
      <c r="O47" s="11">
        <v>40353</v>
      </c>
      <c r="P47" s="202"/>
      <c r="Q47" s="221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>
      <c r="A48" s="9">
        <v>139</v>
      </c>
      <c r="B48" s="6">
        <v>140</v>
      </c>
      <c r="C48" s="7">
        <v>141</v>
      </c>
      <c r="D48" s="20" t="s">
        <v>7</v>
      </c>
      <c r="E48" s="8" t="s">
        <v>241</v>
      </c>
      <c r="F48" s="16">
        <v>40350</v>
      </c>
      <c r="G48" s="202">
        <v>15</v>
      </c>
      <c r="H48" s="221">
        <v>40355</v>
      </c>
      <c r="I48" s="44"/>
      <c r="J48" s="9">
        <v>289</v>
      </c>
      <c r="K48" s="6">
        <v>290</v>
      </c>
      <c r="L48" s="7">
        <v>291</v>
      </c>
      <c r="M48" s="20" t="s">
        <v>139</v>
      </c>
      <c r="N48" s="8" t="s">
        <v>230</v>
      </c>
      <c r="O48" s="11">
        <v>40353</v>
      </c>
      <c r="P48" s="202"/>
      <c r="Q48" s="221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>
      <c r="A49" s="9">
        <v>142</v>
      </c>
      <c r="B49" s="6">
        <v>143</v>
      </c>
      <c r="C49" s="7">
        <v>144</v>
      </c>
      <c r="D49" s="20" t="s">
        <v>7</v>
      </c>
      <c r="E49" s="8" t="s">
        <v>241</v>
      </c>
      <c r="F49" s="16">
        <v>40358</v>
      </c>
      <c r="G49" s="202"/>
      <c r="H49" s="221"/>
      <c r="I49" s="44"/>
      <c r="J49" s="9">
        <v>292</v>
      </c>
      <c r="K49" s="6">
        <v>293</v>
      </c>
      <c r="L49" s="7">
        <v>294</v>
      </c>
      <c r="M49" s="20" t="s">
        <v>139</v>
      </c>
      <c r="N49" s="8" t="s">
        <v>231</v>
      </c>
      <c r="O49" s="11">
        <v>40353</v>
      </c>
      <c r="P49" s="202"/>
      <c r="Q49" s="221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>
      <c r="A50" s="9">
        <v>145</v>
      </c>
      <c r="B50" s="6">
        <v>146</v>
      </c>
      <c r="C50" s="7">
        <v>147</v>
      </c>
      <c r="D50" s="20" t="s">
        <v>7</v>
      </c>
      <c r="E50" s="297" t="s">
        <v>261</v>
      </c>
      <c r="F50" s="16">
        <v>40360</v>
      </c>
      <c r="G50" s="202">
        <v>0</v>
      </c>
      <c r="H50" s="221"/>
      <c r="I50" s="44"/>
      <c r="J50" s="9">
        <v>295</v>
      </c>
      <c r="K50" s="6">
        <v>296</v>
      </c>
      <c r="L50" s="7">
        <v>297</v>
      </c>
      <c r="M50" s="20" t="s">
        <v>139</v>
      </c>
      <c r="N50" s="8" t="s">
        <v>231</v>
      </c>
      <c r="O50" s="11">
        <v>40353</v>
      </c>
      <c r="P50" s="202"/>
      <c r="Q50" s="221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>
      <c r="A51" s="9">
        <v>148</v>
      </c>
      <c r="B51" s="6">
        <v>149</v>
      </c>
      <c r="C51" s="7">
        <v>150</v>
      </c>
      <c r="D51" s="20" t="s">
        <v>139</v>
      </c>
      <c r="E51" s="297" t="s">
        <v>262</v>
      </c>
      <c r="F51" s="16">
        <v>40360</v>
      </c>
      <c r="G51" s="202">
        <v>0</v>
      </c>
      <c r="H51" s="221"/>
      <c r="I51" s="44"/>
      <c r="J51" s="9">
        <v>298</v>
      </c>
      <c r="K51" s="6">
        <v>299</v>
      </c>
      <c r="L51" s="7">
        <v>300</v>
      </c>
      <c r="M51" s="20"/>
      <c r="N51" s="8"/>
      <c r="O51" s="8"/>
      <c r="P51" s="203"/>
      <c r="Q51" s="221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>
      <c r="A52" s="44"/>
      <c r="B52" s="44"/>
      <c r="C52" s="44"/>
      <c r="D52" s="44"/>
      <c r="E52" s="44"/>
      <c r="F52" s="44"/>
      <c r="G52" s="239">
        <f>SUM(G2:G51)</f>
        <v>340</v>
      </c>
      <c r="H52" s="44"/>
      <c r="I52" s="44"/>
      <c r="J52" s="44"/>
      <c r="K52" s="44"/>
      <c r="L52" s="44"/>
      <c r="M52" s="44"/>
      <c r="N52" s="44"/>
      <c r="O52" s="44"/>
      <c r="P52" s="239">
        <f>SUM(P2:P51)</f>
        <v>260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>
      <c r="A54" s="238">
        <v>46</v>
      </c>
      <c r="B54" s="20"/>
      <c r="C54" s="238">
        <v>36</v>
      </c>
      <c r="D54" s="20" t="s">
        <v>138</v>
      </c>
      <c r="E54" s="20" t="s">
        <v>212</v>
      </c>
      <c r="F54" s="237"/>
      <c r="G54" s="239">
        <f>SUMIF(H2:H51,"=21/06/2010",G2:G51)</f>
        <v>30</v>
      </c>
      <c r="H54" s="240">
        <v>40350</v>
      </c>
      <c r="I54" s="237"/>
      <c r="J54" s="20"/>
      <c r="K54" s="20"/>
      <c r="L54" s="238">
        <v>273</v>
      </c>
      <c r="M54" s="20"/>
      <c r="N54" s="20" t="s">
        <v>268</v>
      </c>
      <c r="O54" s="237"/>
      <c r="P54" s="239">
        <f>SUMIF(Q2:Q51,"=21/06/2010",P2:P51)</f>
        <v>0</v>
      </c>
      <c r="Q54" s="240">
        <v>40350</v>
      </c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>
      <c r="A55" s="237"/>
      <c r="B55" s="237"/>
      <c r="C55" s="237"/>
      <c r="D55" s="237"/>
      <c r="E55" s="237"/>
      <c r="F55" s="237"/>
      <c r="G55" s="239">
        <f>SUMIF(H2:H51,"=24/06/2010",G2:G51)</f>
        <v>120</v>
      </c>
      <c r="H55" s="240">
        <v>40353</v>
      </c>
      <c r="I55" s="237"/>
      <c r="J55" s="237"/>
      <c r="K55" s="237"/>
      <c r="L55" s="237"/>
      <c r="M55" s="237"/>
      <c r="N55" s="237"/>
      <c r="O55" s="237"/>
      <c r="P55" s="239">
        <f>SUMIF(Q2:Q51,"=24/06/2010",P2:P51)</f>
        <v>215</v>
      </c>
      <c r="Q55" s="240">
        <v>40353</v>
      </c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>
      <c r="A56" s="237"/>
      <c r="B56" s="237"/>
      <c r="C56" s="237"/>
      <c r="D56" s="237"/>
      <c r="E56" s="237"/>
      <c r="F56" s="237"/>
      <c r="G56" s="239">
        <f>SUMIF(H1:H50,"=26/06/2010",G1:G50)</f>
        <v>60</v>
      </c>
      <c r="H56" s="240">
        <v>40355</v>
      </c>
      <c r="I56" s="237"/>
      <c r="J56" s="237"/>
      <c r="K56" s="237"/>
      <c r="L56" s="237"/>
      <c r="M56" s="237"/>
      <c r="N56" s="237"/>
      <c r="O56" s="237"/>
      <c r="P56" s="239">
        <f>SUMIF(Q1:Q50,"=26/06/2010",P1:P50)</f>
        <v>0</v>
      </c>
      <c r="Q56" s="240">
        <v>40355</v>
      </c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>
      <c r="A57" s="237"/>
      <c r="B57" s="237"/>
      <c r="C57" s="237"/>
      <c r="D57" s="237"/>
      <c r="E57" s="237"/>
      <c r="F57" s="237"/>
      <c r="G57" s="239">
        <f>SUMIF(H2:H51,"=30/06/2010",G2:G51)</f>
        <v>130</v>
      </c>
      <c r="H57" s="240">
        <v>40359</v>
      </c>
      <c r="I57" s="237"/>
      <c r="J57" s="237"/>
      <c r="K57" s="237"/>
      <c r="L57" s="237"/>
      <c r="M57" s="237"/>
      <c r="N57" s="237"/>
      <c r="O57" s="237"/>
      <c r="P57" s="239">
        <f>SUMIF(Q2:Q51,"=30/06/2010",P2:P51)</f>
        <v>45</v>
      </c>
      <c r="Q57" s="240">
        <v>40359</v>
      </c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>
      <c r="A58" s="237"/>
      <c r="B58" s="237"/>
      <c r="C58" s="237"/>
      <c r="D58" s="237"/>
      <c r="E58" s="237"/>
      <c r="F58" s="237"/>
      <c r="G58" s="241">
        <f>G52-(SUM(G54:G57))</f>
        <v>0</v>
      </c>
      <c r="H58" s="237"/>
      <c r="I58" s="237"/>
      <c r="J58" s="237"/>
      <c r="K58" s="237"/>
      <c r="L58" s="237"/>
      <c r="M58" s="237"/>
      <c r="N58" s="237"/>
      <c r="O58" s="237"/>
      <c r="P58" s="241">
        <f>P52-(SUM(P54:P57))</f>
        <v>0</v>
      </c>
      <c r="Q58" s="237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</sheetData>
  <sheetProtection/>
  <mergeCells count="2">
    <mergeCell ref="A1:C1"/>
    <mergeCell ref="J1:L1"/>
  </mergeCells>
  <printOptions/>
  <pageMargins left="0.3937007874015748" right="0.2362204724409449" top="0.6692913385826772" bottom="0.7480314960629921" header="0.11811023622047245" footer="0.6299212598425197"/>
  <pageSetup fitToHeight="1" fitToWidth="1" horizontalDpi="1200" verticalDpi="1200" orientation="portrait" paperSize="9" scale="80" r:id="rId1"/>
  <headerFooter alignWithMargins="0">
    <oddHeader>&amp;L&amp;F&amp;Rmapa da venda de convites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107"/>
  <sheetViews>
    <sheetView zoomScale="114" zoomScaleNormal="114" zoomScalePageLayoutView="0" workbookViewId="0" topLeftCell="A10">
      <selection activeCell="I72" sqref="I72"/>
    </sheetView>
  </sheetViews>
  <sheetFormatPr defaultColWidth="9.140625" defaultRowHeight="12.75"/>
  <cols>
    <col min="1" max="1" width="11.00390625" style="0" bestFit="1" customWidth="1"/>
    <col min="2" max="2" width="10.00390625" style="0" customWidth="1"/>
    <col min="3" max="3" width="4.8515625" style="0" customWidth="1"/>
    <col min="4" max="4" width="25.421875" style="0" customWidth="1"/>
    <col min="5" max="5" width="4.00390625" style="0" customWidth="1"/>
    <col min="6" max="6" width="3.8515625" style="0" customWidth="1"/>
    <col min="7" max="7" width="9.00390625" style="150" bestFit="1" customWidth="1"/>
    <col min="8" max="8" width="6.57421875" style="187" customWidth="1"/>
    <col min="9" max="9" width="17.7109375" style="156" bestFit="1" customWidth="1"/>
    <col min="10" max="10" width="3.140625" style="0" bestFit="1" customWidth="1"/>
    <col min="11" max="11" width="2.57421875" style="148" customWidth="1"/>
    <col min="12" max="12" width="2.140625" style="0" customWidth="1"/>
    <col min="13" max="13" width="9.7109375" style="0" bestFit="1" customWidth="1"/>
    <col min="14" max="14" width="5.57421875" style="0" bestFit="1" customWidth="1"/>
    <col min="15" max="15" width="10.57421875" style="0" bestFit="1" customWidth="1"/>
    <col min="16" max="16" width="11.28125" style="0" bestFit="1" customWidth="1"/>
  </cols>
  <sheetData>
    <row r="1" spans="1:27" ht="12.75">
      <c r="A1" t="s">
        <v>158</v>
      </c>
      <c r="D1" s="144"/>
      <c r="E1" s="145"/>
      <c r="G1" s="146"/>
      <c r="H1" s="144"/>
      <c r="I1" s="147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149" customFormat="1" ht="21" customHeight="1">
      <c r="A2" s="363" t="str">
        <f>CONCATENATE(cronograma!C3,"  do  ")</f>
        <v>Festa Junina  do  </v>
      </c>
      <c r="B2" s="364"/>
      <c r="C2" s="364"/>
      <c r="D2" s="364"/>
      <c r="E2" s="364"/>
      <c r="F2" s="364"/>
      <c r="G2" s="364"/>
      <c r="H2" s="365"/>
      <c r="I2" s="147"/>
      <c r="K2" s="151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27" s="149" customFormat="1" ht="15" customHeight="1">
      <c r="A3" s="366"/>
      <c r="B3" s="367"/>
      <c r="C3" s="367"/>
      <c r="D3" s="367"/>
      <c r="E3" s="367"/>
      <c r="F3" s="367"/>
      <c r="G3" s="367"/>
      <c r="H3" s="368"/>
      <c r="K3" s="151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4:27" ht="12.75">
      <c r="D4" s="152"/>
      <c r="E4" s="153"/>
      <c r="F4" s="146"/>
      <c r="G4" s="154"/>
      <c r="H4" s="155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5">
      <c r="A5" s="149"/>
      <c r="D5" s="152"/>
      <c r="E5" s="153"/>
      <c r="F5" s="146"/>
      <c r="G5" s="154"/>
      <c r="H5" s="155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2.75" customHeight="1">
      <c r="A6" s="363" t="str">
        <f>CONCATENATE(cronograma!C1)</f>
        <v>Grupo Escoteiro Guaianazes 68ºSP</v>
      </c>
      <c r="B6" s="364"/>
      <c r="C6" s="364"/>
      <c r="D6" s="364"/>
      <c r="E6" s="364"/>
      <c r="F6" s="364"/>
      <c r="G6" s="364"/>
      <c r="H6" s="36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 customHeight="1">
      <c r="A7" s="369"/>
      <c r="B7" s="370"/>
      <c r="C7" s="370"/>
      <c r="D7" s="370"/>
      <c r="E7" s="370"/>
      <c r="F7" s="370"/>
      <c r="G7" s="370"/>
      <c r="H7" s="371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ht="12.75" customHeight="1">
      <c r="A8" s="366"/>
      <c r="B8" s="367"/>
      <c r="C8" s="367"/>
      <c r="D8" s="367"/>
      <c r="E8" s="367"/>
      <c r="F8" s="367"/>
      <c r="G8" s="367"/>
      <c r="H8" s="368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4:27" ht="12.75">
      <c r="D9" s="152"/>
      <c r="E9" s="153"/>
      <c r="F9" s="146"/>
      <c r="G9" s="154"/>
      <c r="H9" s="15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4:27" ht="12.75">
      <c r="D10" s="152"/>
      <c r="E10" s="153"/>
      <c r="F10" s="146"/>
      <c r="G10" s="154"/>
      <c r="H10" s="155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27" ht="12.75" customHeight="1">
      <c r="B11" s="372" t="str">
        <f>CONCATENATE("realizada em: ",TEXT(cronograma!$C$4,"dd/mm/aaaa"))</f>
        <v>realizada em: 03/07/2010</v>
      </c>
      <c r="C11" s="373"/>
      <c r="D11" s="373"/>
      <c r="E11" s="373"/>
      <c r="F11" s="373"/>
      <c r="G11" s="374"/>
      <c r="H11" s="15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7" ht="12.75" customHeight="1">
      <c r="B12" s="375"/>
      <c r="C12" s="376"/>
      <c r="D12" s="376"/>
      <c r="E12" s="376"/>
      <c r="F12" s="376"/>
      <c r="G12" s="377"/>
      <c r="H12" s="155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4:27" ht="13.5" thickBot="1">
      <c r="D13" s="150"/>
      <c r="E13" s="21"/>
      <c r="F13" s="21"/>
      <c r="G13" s="157"/>
      <c r="H13" s="152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ht="19.5" thickBot="1">
      <c r="A14" s="378" t="s">
        <v>103</v>
      </c>
      <c r="B14" s="379"/>
      <c r="C14" s="379"/>
      <c r="D14" s="379"/>
      <c r="E14" s="379"/>
      <c r="F14" s="379"/>
      <c r="G14" s="379"/>
      <c r="H14" s="379"/>
      <c r="I14" s="379"/>
      <c r="J14" s="380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7:27" ht="12.75">
      <c r="G15" s="158">
        <v>5</v>
      </c>
      <c r="H15" s="158">
        <v>6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159" customFormat="1" ht="15">
      <c r="A16" s="357" t="s">
        <v>104</v>
      </c>
      <c r="B16" s="358"/>
      <c r="C16" s="358"/>
      <c r="D16" s="358"/>
      <c r="E16" s="358"/>
      <c r="F16" s="358"/>
      <c r="G16" s="358"/>
      <c r="H16" s="358"/>
      <c r="I16" s="358"/>
      <c r="J16" s="359"/>
      <c r="K16" s="14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s="23" customFormat="1" ht="12.75">
      <c r="A17" s="160">
        <v>40350</v>
      </c>
      <c r="B17">
        <f>(mapa!G54+mapa!P54)/5</f>
        <v>6</v>
      </c>
      <c r="C17" s="351" t="s">
        <v>141</v>
      </c>
      <c r="D17" s="350"/>
      <c r="E17" s="350"/>
      <c r="F17" s="350"/>
      <c r="G17" s="350"/>
      <c r="H17" s="350"/>
      <c r="I17" s="208">
        <f>mapa!G54+mapa!P54</f>
        <v>30</v>
      </c>
      <c r="J17" s="161" t="s">
        <v>105</v>
      </c>
      <c r="K17" s="151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23" customFormat="1" ht="12.75">
      <c r="A18" s="160">
        <v>40353</v>
      </c>
      <c r="B18">
        <f>(mapa!G55+mapa!P55)/5</f>
        <v>67</v>
      </c>
      <c r="C18" s="351" t="s">
        <v>141</v>
      </c>
      <c r="D18" s="350"/>
      <c r="E18" s="350"/>
      <c r="F18" s="350"/>
      <c r="G18" s="350"/>
      <c r="H18" s="350"/>
      <c r="I18" s="208">
        <f>mapa!G55+mapa!P55</f>
        <v>335</v>
      </c>
      <c r="J18" s="161" t="s">
        <v>105</v>
      </c>
      <c r="K18" s="151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s="23" customFormat="1" ht="12.75">
      <c r="A19" s="160">
        <v>40355</v>
      </c>
      <c r="B19">
        <f>(mapa!G56+mapa!P56)/5</f>
        <v>12</v>
      </c>
      <c r="C19" s="351" t="s">
        <v>141</v>
      </c>
      <c r="D19" s="350"/>
      <c r="E19" s="350"/>
      <c r="F19" s="350"/>
      <c r="G19" s="350"/>
      <c r="H19" s="350"/>
      <c r="I19" s="208">
        <f>mapa!G56+mapa!P56</f>
        <v>60</v>
      </c>
      <c r="J19" s="151"/>
      <c r="K19" s="151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23" customFormat="1" ht="12.75">
      <c r="A20" s="160">
        <v>40359</v>
      </c>
      <c r="B20">
        <f>(mapa!G57+mapa!P57)/5</f>
        <v>35</v>
      </c>
      <c r="C20" s="351" t="s">
        <v>141</v>
      </c>
      <c r="D20" s="350"/>
      <c r="E20" s="350"/>
      <c r="F20" s="350"/>
      <c r="G20" s="350"/>
      <c r="H20" s="350"/>
      <c r="I20" s="208">
        <f>mapa!G57+mapa!P57</f>
        <v>175</v>
      </c>
      <c r="J20" s="151"/>
      <c r="K20" s="151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23" customFormat="1" ht="12.75">
      <c r="A21" s="160">
        <v>40362</v>
      </c>
      <c r="B21">
        <v>31</v>
      </c>
      <c r="C21" s="351" t="s">
        <v>322</v>
      </c>
      <c r="D21" s="350"/>
      <c r="E21" s="350"/>
      <c r="F21" s="350"/>
      <c r="G21" s="350"/>
      <c r="H21" s="350"/>
      <c r="I21" s="208">
        <f>B21*H15</f>
        <v>186</v>
      </c>
      <c r="K21" s="151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23" customFormat="1" ht="12.75">
      <c r="A22" s="160">
        <v>40362</v>
      </c>
      <c r="B22"/>
      <c r="C22" s="350" t="s">
        <v>362</v>
      </c>
      <c r="D22" s="350"/>
      <c r="E22" s="350"/>
      <c r="F22" s="350"/>
      <c r="G22" s="350"/>
      <c r="H22" s="350"/>
      <c r="I22" s="208">
        <f>I47+I48+I49-60</f>
        <v>34.14</v>
      </c>
      <c r="K22" s="151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s="23" customFormat="1" ht="13.5" thickBot="1">
      <c r="A23" s="160"/>
      <c r="B23"/>
      <c r="C23" s="350"/>
      <c r="D23" s="350"/>
      <c r="E23" s="350"/>
      <c r="F23" s="350"/>
      <c r="G23" s="350"/>
      <c r="H23" s="350"/>
      <c r="I23" s="247"/>
      <c r="K23" s="15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ht="15">
      <c r="A24" s="164"/>
      <c r="B24" s="165">
        <f>SUM(B17:B23)</f>
        <v>151</v>
      </c>
      <c r="C24" s="165"/>
      <c r="D24" s="361" t="s">
        <v>117</v>
      </c>
      <c r="E24" s="361"/>
      <c r="F24" s="361"/>
      <c r="G24" s="361"/>
      <c r="H24" s="361"/>
      <c r="I24" s="166">
        <f>SUM(I17:I23)</f>
        <v>820.14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s="23" customFormat="1" ht="12.75">
      <c r="A25" s="160"/>
      <c r="B25"/>
      <c r="C25" s="350"/>
      <c r="D25" s="350"/>
      <c r="E25" s="350"/>
      <c r="F25" s="350"/>
      <c r="G25" s="350"/>
      <c r="H25" s="350"/>
      <c r="I25" s="156"/>
      <c r="K25" s="151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s="23" customFormat="1" ht="12.75">
      <c r="A26" s="160"/>
      <c r="B26"/>
      <c r="C26" s="350"/>
      <c r="D26" s="350"/>
      <c r="E26" s="350"/>
      <c r="F26" s="350"/>
      <c r="G26" s="350"/>
      <c r="H26" s="350"/>
      <c r="I26" s="156"/>
      <c r="K26" s="151"/>
      <c r="L26" s="44"/>
      <c r="M26" s="381" t="s">
        <v>155</v>
      </c>
      <c r="N26" s="382"/>
      <c r="O26" s="38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s="23" customFormat="1" ht="12.75">
      <c r="A27" s="160">
        <v>40362</v>
      </c>
      <c r="B27" s="164"/>
      <c r="C27" s="350" t="s">
        <v>122</v>
      </c>
      <c r="D27" s="350"/>
      <c r="E27" s="350"/>
      <c r="F27" s="350"/>
      <c r="G27" s="350"/>
      <c r="H27" s="350"/>
      <c r="I27" s="208">
        <f>375+1806.05+116.15</f>
        <v>2297.2000000000003</v>
      </c>
      <c r="K27" s="151"/>
      <c r="L27" s="44"/>
      <c r="M27" s="287" t="s">
        <v>156</v>
      </c>
      <c r="N27" s="287" t="s">
        <v>157</v>
      </c>
      <c r="O27" s="287" t="s">
        <v>159</v>
      </c>
      <c r="P27" s="294" t="s">
        <v>323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s="23" customFormat="1" ht="12.75">
      <c r="A28" s="160">
        <v>40362</v>
      </c>
      <c r="B28" s="164">
        <v>301</v>
      </c>
      <c r="C28" s="350" t="s">
        <v>123</v>
      </c>
      <c r="D28" s="350"/>
      <c r="E28" s="350"/>
      <c r="F28" s="350"/>
      <c r="G28" s="350"/>
      <c r="H28" s="350"/>
      <c r="I28" s="208">
        <f>B28*1</f>
        <v>301</v>
      </c>
      <c r="K28" s="151"/>
      <c r="L28" s="44"/>
      <c r="M28" s="290" t="s">
        <v>154</v>
      </c>
      <c r="N28" s="295">
        <v>255</v>
      </c>
      <c r="O28" s="291">
        <f>N28*0.25</f>
        <v>63.75</v>
      </c>
      <c r="P28" s="298" t="s">
        <v>349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s="23" customFormat="1" ht="12.75">
      <c r="A29" s="160">
        <v>40362</v>
      </c>
      <c r="B29" s="164"/>
      <c r="C29" s="350" t="s">
        <v>146</v>
      </c>
      <c r="D29" s="350"/>
      <c r="E29" s="350"/>
      <c r="F29" s="350"/>
      <c r="G29" s="350"/>
      <c r="H29" s="350"/>
      <c r="I29" s="208">
        <f>444.25</f>
        <v>444.25</v>
      </c>
      <c r="K29" s="151"/>
      <c r="L29" s="44"/>
      <c r="M29" s="300" t="s">
        <v>149</v>
      </c>
      <c r="N29" s="295">
        <v>45</v>
      </c>
      <c r="O29" s="301">
        <f aca="true" t="shared" si="0" ref="O29:O36">N29*0.25</f>
        <v>11.25</v>
      </c>
      <c r="P29" s="298" t="s">
        <v>350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s="23" customFormat="1" ht="12.75">
      <c r="A30" s="160"/>
      <c r="B30"/>
      <c r="C30" s="350"/>
      <c r="D30" s="350"/>
      <c r="E30" s="350"/>
      <c r="F30" s="350"/>
      <c r="G30" s="350"/>
      <c r="H30" s="350"/>
      <c r="I30" s="162"/>
      <c r="J30" s="151"/>
      <c r="K30" s="151"/>
      <c r="L30" s="44"/>
      <c r="M30" s="290" t="s">
        <v>150</v>
      </c>
      <c r="N30" s="296">
        <v>62</v>
      </c>
      <c r="O30" s="291">
        <f t="shared" si="0"/>
        <v>15.5</v>
      </c>
      <c r="P30" s="298" t="s">
        <v>353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23" customFormat="1" ht="12.75">
      <c r="A31" s="160">
        <v>40362</v>
      </c>
      <c r="B31" s="164"/>
      <c r="C31" s="350" t="s">
        <v>354</v>
      </c>
      <c r="D31" s="350"/>
      <c r="E31" s="350"/>
      <c r="F31" s="350"/>
      <c r="G31" s="350"/>
      <c r="H31" s="350"/>
      <c r="I31" s="208">
        <v>9</v>
      </c>
      <c r="K31" s="151"/>
      <c r="L31" s="44"/>
      <c r="M31" s="290" t="s">
        <v>151</v>
      </c>
      <c r="N31" s="296">
        <v>42</v>
      </c>
      <c r="O31" s="291">
        <f t="shared" si="0"/>
        <v>10.5</v>
      </c>
      <c r="P31" s="298" t="s">
        <v>352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ht="13.5" thickBot="1">
      <c r="A32" s="160">
        <v>40362</v>
      </c>
      <c r="B32" s="164"/>
      <c r="C32" s="350" t="s">
        <v>126</v>
      </c>
      <c r="D32" s="350"/>
      <c r="E32" s="350"/>
      <c r="F32" s="350"/>
      <c r="G32" s="350"/>
      <c r="H32" s="350"/>
      <c r="I32" s="247">
        <v>0</v>
      </c>
      <c r="L32" s="44"/>
      <c r="M32" s="292" t="s">
        <v>152</v>
      </c>
      <c r="N32" s="288">
        <v>122</v>
      </c>
      <c r="O32" s="293">
        <f t="shared" si="0"/>
        <v>30.5</v>
      </c>
      <c r="P32" s="298" t="s">
        <v>351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7" ht="15">
      <c r="A33" s="164"/>
      <c r="B33" s="165"/>
      <c r="C33" s="165"/>
      <c r="D33" s="361" t="s">
        <v>118</v>
      </c>
      <c r="E33" s="361"/>
      <c r="F33" s="361"/>
      <c r="G33" s="361"/>
      <c r="H33" s="361"/>
      <c r="I33" s="166">
        <f>SUM(I27:I32)</f>
        <v>3051.4500000000003</v>
      </c>
      <c r="L33" s="44"/>
      <c r="M33" s="300" t="s">
        <v>272</v>
      </c>
      <c r="N33" s="295">
        <v>90</v>
      </c>
      <c r="O33" s="301">
        <f t="shared" si="0"/>
        <v>22.5</v>
      </c>
      <c r="P33" s="298" t="s">
        <v>358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 s="23" customFormat="1" ht="12.75">
      <c r="A34" s="160"/>
      <c r="B34" s="165"/>
      <c r="C34" s="350"/>
      <c r="D34" s="350"/>
      <c r="E34" s="350" t="s">
        <v>148</v>
      </c>
      <c r="F34" s="350"/>
      <c r="G34" s="350"/>
      <c r="H34" s="350"/>
      <c r="I34" s="156"/>
      <c r="K34" s="151"/>
      <c r="L34" s="44"/>
      <c r="M34" s="290" t="s">
        <v>273</v>
      </c>
      <c r="N34" s="296">
        <v>90</v>
      </c>
      <c r="O34" s="291">
        <f t="shared" si="0"/>
        <v>22.5</v>
      </c>
      <c r="P34" s="298" t="s">
        <v>357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s="23" customFormat="1" ht="12.75">
      <c r="A35" s="160"/>
      <c r="B35" s="165"/>
      <c r="C35" s="350"/>
      <c r="D35" s="350"/>
      <c r="E35" s="350"/>
      <c r="F35" s="350"/>
      <c r="G35" s="350"/>
      <c r="H35" s="350"/>
      <c r="I35" s="156"/>
      <c r="K35" s="151"/>
      <c r="L35" s="44"/>
      <c r="M35" s="292" t="s">
        <v>274</v>
      </c>
      <c r="N35" s="288">
        <v>90</v>
      </c>
      <c r="O35" s="293">
        <f t="shared" si="0"/>
        <v>22.5</v>
      </c>
      <c r="P35" s="298" t="s">
        <v>359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s="23" customFormat="1" ht="13.5" thickBot="1">
      <c r="A36" s="167"/>
      <c r="B36" s="165"/>
      <c r="D36" s="168"/>
      <c r="E36" s="168"/>
      <c r="F36" s="168"/>
      <c r="G36" s="168"/>
      <c r="H36" s="168"/>
      <c r="I36" s="162"/>
      <c r="K36" s="151"/>
      <c r="L36" s="44"/>
      <c r="M36" s="292" t="s">
        <v>153</v>
      </c>
      <c r="N36" s="288">
        <v>127</v>
      </c>
      <c r="O36" s="293">
        <f t="shared" si="0"/>
        <v>31.75</v>
      </c>
      <c r="P36" s="298" t="s">
        <v>360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 ht="18.75">
      <c r="A37" s="164"/>
      <c r="B37" s="165"/>
      <c r="D37" s="349" t="s">
        <v>106</v>
      </c>
      <c r="E37" s="349"/>
      <c r="F37" s="349"/>
      <c r="G37" s="349"/>
      <c r="H37" s="349"/>
      <c r="I37" s="169">
        <f>SUM(I24+I33)</f>
        <v>3871.59</v>
      </c>
      <c r="L37" s="44"/>
      <c r="M37" s="44"/>
      <c r="N37" s="288">
        <f>SUM(N30:N36)</f>
        <v>623</v>
      </c>
      <c r="O37" s="289">
        <f>SUM(O28:O36)</f>
        <v>230.75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2:27" ht="12.75"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159" customFormat="1" ht="15">
      <c r="A39" s="357" t="s">
        <v>107</v>
      </c>
      <c r="B39" s="358"/>
      <c r="C39" s="358"/>
      <c r="D39" s="358"/>
      <c r="E39" s="358"/>
      <c r="F39" s="358"/>
      <c r="G39" s="358"/>
      <c r="H39" s="358"/>
      <c r="I39" s="358"/>
      <c r="J39" s="359"/>
      <c r="K39" s="148"/>
      <c r="L39" s="188"/>
      <c r="M39" s="44"/>
      <c r="N39" s="44"/>
      <c r="O39" s="189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</row>
    <row r="40" spans="1:27" ht="12.75">
      <c r="A40" s="204">
        <v>40360</v>
      </c>
      <c r="B40" s="280" t="s">
        <v>108</v>
      </c>
      <c r="C40" s="360" t="s">
        <v>316</v>
      </c>
      <c r="D40" s="356"/>
      <c r="E40" s="356"/>
      <c r="F40" s="356"/>
      <c r="G40" s="356"/>
      <c r="H40" s="356"/>
      <c r="I40" s="171">
        <v>10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ht="12.75">
      <c r="A41" s="204">
        <v>40360</v>
      </c>
      <c r="B41" s="280" t="s">
        <v>108</v>
      </c>
      <c r="C41" s="360" t="s">
        <v>285</v>
      </c>
      <c r="D41" s="356"/>
      <c r="E41" s="356"/>
      <c r="F41" s="356"/>
      <c r="G41" s="356"/>
      <c r="H41" s="356"/>
      <c r="I41" s="171">
        <v>27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12.75">
      <c r="A42" s="204">
        <v>40360</v>
      </c>
      <c r="B42" s="280" t="s">
        <v>284</v>
      </c>
      <c r="C42" s="360" t="s">
        <v>315</v>
      </c>
      <c r="D42" s="356"/>
      <c r="E42" s="356"/>
      <c r="F42" s="356"/>
      <c r="G42" s="356"/>
      <c r="H42" s="356"/>
      <c r="I42" s="171">
        <v>237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ht="12.75">
      <c r="A43" s="204">
        <v>40360</v>
      </c>
      <c r="B43" s="280" t="s">
        <v>108</v>
      </c>
      <c r="C43" s="360" t="s">
        <v>314</v>
      </c>
      <c r="D43" s="356"/>
      <c r="E43" s="356"/>
      <c r="F43" s="356"/>
      <c r="G43" s="356"/>
      <c r="H43" s="356"/>
      <c r="I43" s="171">
        <v>6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ht="12.75">
      <c r="A44" s="204">
        <v>40360</v>
      </c>
      <c r="B44" s="280" t="s">
        <v>324</v>
      </c>
      <c r="C44" s="360" t="s">
        <v>317</v>
      </c>
      <c r="D44" s="356"/>
      <c r="E44" s="356"/>
      <c r="F44" s="356"/>
      <c r="G44" s="356"/>
      <c r="H44" s="356"/>
      <c r="I44" s="171">
        <v>49.9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ht="12.75">
      <c r="A45" s="170">
        <v>40362</v>
      </c>
      <c r="B45" s="280" t="s">
        <v>119</v>
      </c>
      <c r="C45" s="356" t="s">
        <v>329</v>
      </c>
      <c r="D45" s="356"/>
      <c r="E45" s="356"/>
      <c r="F45" s="356"/>
      <c r="G45" s="356"/>
      <c r="H45" s="356"/>
      <c r="I45" s="171">
        <v>301.19</v>
      </c>
      <c r="K45" s="176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.75">
      <c r="A46" s="170">
        <v>40362</v>
      </c>
      <c r="B46" s="280" t="s">
        <v>119</v>
      </c>
      <c r="C46" s="356" t="s">
        <v>329</v>
      </c>
      <c r="D46" s="356"/>
      <c r="E46" s="356"/>
      <c r="F46" s="356"/>
      <c r="G46" s="356"/>
      <c r="H46" s="356"/>
      <c r="I46" s="171">
        <v>12.29</v>
      </c>
      <c r="K46" s="176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ht="12.75">
      <c r="A47" s="170">
        <v>40362</v>
      </c>
      <c r="B47" s="280" t="s">
        <v>325</v>
      </c>
      <c r="C47" s="356" t="s">
        <v>326</v>
      </c>
      <c r="D47" s="356"/>
      <c r="E47" s="356"/>
      <c r="F47" s="356"/>
      <c r="G47" s="356"/>
      <c r="H47" s="356"/>
      <c r="I47" s="171">
        <v>26.9</v>
      </c>
      <c r="K47" s="176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2.75">
      <c r="A48" s="170">
        <v>40362</v>
      </c>
      <c r="B48" s="280" t="s">
        <v>327</v>
      </c>
      <c r="C48" s="356" t="s">
        <v>361</v>
      </c>
      <c r="D48" s="356"/>
      <c r="E48" s="356"/>
      <c r="F48" s="356"/>
      <c r="G48" s="356"/>
      <c r="H48" s="356"/>
      <c r="I48" s="171">
        <v>22.24</v>
      </c>
      <c r="K48" s="176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ht="12.75">
      <c r="A49" s="170">
        <v>40362</v>
      </c>
      <c r="B49" s="280" t="s">
        <v>328</v>
      </c>
      <c r="C49" s="356" t="s">
        <v>355</v>
      </c>
      <c r="D49" s="356"/>
      <c r="E49" s="356"/>
      <c r="F49" s="356"/>
      <c r="G49" s="356"/>
      <c r="H49" s="356"/>
      <c r="I49" s="171">
        <v>45</v>
      </c>
      <c r="K49" s="176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ht="12.75">
      <c r="A50" s="170">
        <v>40362</v>
      </c>
      <c r="B50" s="280" t="s">
        <v>108</v>
      </c>
      <c r="C50" s="356" t="s">
        <v>330</v>
      </c>
      <c r="D50" s="356"/>
      <c r="E50" s="356"/>
      <c r="F50" s="356"/>
      <c r="G50" s="356"/>
      <c r="H50" s="356"/>
      <c r="I50" s="171">
        <v>367.5</v>
      </c>
      <c r="K50" s="176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ht="12.75">
      <c r="A51" s="173">
        <v>40362</v>
      </c>
      <c r="B51" s="174" t="s">
        <v>108</v>
      </c>
      <c r="C51" s="356" t="s">
        <v>147</v>
      </c>
      <c r="D51" s="356"/>
      <c r="E51" s="356"/>
      <c r="F51" s="356"/>
      <c r="G51" s="356"/>
      <c r="H51" s="356"/>
      <c r="I51" s="171">
        <v>873.9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ht="12.75">
      <c r="A52" s="173"/>
      <c r="B52" s="174"/>
      <c r="C52" s="350"/>
      <c r="D52" s="350"/>
      <c r="E52" s="350"/>
      <c r="F52" s="350"/>
      <c r="G52" s="350"/>
      <c r="H52" s="350"/>
      <c r="I52" s="175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ht="12.75">
      <c r="A53" s="173"/>
      <c r="B53" s="172"/>
      <c r="C53" s="350"/>
      <c r="D53" s="350"/>
      <c r="E53" s="350"/>
      <c r="F53" s="350"/>
      <c r="G53" s="350"/>
      <c r="H53" s="350"/>
      <c r="I53" s="175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ht="13.5" thickBot="1">
      <c r="A54" s="173"/>
      <c r="B54" s="174"/>
      <c r="C54" s="356"/>
      <c r="D54" s="356"/>
      <c r="E54" s="356"/>
      <c r="F54" s="356"/>
      <c r="G54" s="356"/>
      <c r="H54" s="356"/>
      <c r="I54" s="163"/>
      <c r="K54" s="177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4:27" ht="18.75">
      <c r="D55" s="349" t="s">
        <v>109</v>
      </c>
      <c r="E55" s="349"/>
      <c r="F55" s="349"/>
      <c r="G55" s="349"/>
      <c r="H55" s="349"/>
      <c r="I55" s="178">
        <f>SUM(I39:I54)</f>
        <v>1978.92</v>
      </c>
      <c r="K55" s="176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4:27" ht="12.75">
      <c r="D56" s="362"/>
      <c r="E56" s="362"/>
      <c r="F56" s="362"/>
      <c r="G56" s="362"/>
      <c r="H56" s="179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5:27" ht="12.75">
      <c r="E57" s="180"/>
      <c r="G57" s="180"/>
      <c r="H57" s="181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s="159" customFormat="1" ht="15">
      <c r="A58" s="357" t="s">
        <v>110</v>
      </c>
      <c r="B58" s="358"/>
      <c r="C58" s="358"/>
      <c r="D58" s="358"/>
      <c r="E58" s="358"/>
      <c r="F58" s="358"/>
      <c r="G58" s="358"/>
      <c r="H58" s="358"/>
      <c r="I58" s="358"/>
      <c r="J58" s="359"/>
      <c r="K58" s="14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</row>
    <row r="59" spans="3:27" ht="12.75">
      <c r="C59" s="348" t="s">
        <v>111</v>
      </c>
      <c r="D59" s="348"/>
      <c r="E59" s="348"/>
      <c r="F59" s="348"/>
      <c r="G59" s="348"/>
      <c r="H59" s="348"/>
      <c r="I59" s="182">
        <f>I37</f>
        <v>3871.59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ht="13.5" thickBot="1">
      <c r="A60" s="164"/>
      <c r="B60" s="164"/>
      <c r="C60" s="350" t="s">
        <v>112</v>
      </c>
      <c r="D60" s="350"/>
      <c r="E60" s="350"/>
      <c r="F60" s="350"/>
      <c r="G60" s="350"/>
      <c r="H60" s="350"/>
      <c r="I60" s="183">
        <f>I55</f>
        <v>1978.92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3:27" ht="18.75">
      <c r="C61" s="164"/>
      <c r="D61" s="349" t="s">
        <v>120</v>
      </c>
      <c r="E61" s="349"/>
      <c r="F61" s="349"/>
      <c r="G61" s="349"/>
      <c r="H61" s="349"/>
      <c r="I61" s="178">
        <f>I37-I55</f>
        <v>1892.67</v>
      </c>
      <c r="K61" s="176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3:27" ht="18.75">
      <c r="C62" s="164"/>
      <c r="D62" s="350" t="s">
        <v>124</v>
      </c>
      <c r="E62" s="350"/>
      <c r="F62" s="350"/>
      <c r="G62" s="352">
        <f>SUMIF(J17:J36,"=ü",I17:I37)</f>
        <v>365</v>
      </c>
      <c r="H62" s="352"/>
      <c r="I62" s="178"/>
      <c r="K62" s="176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3:27" ht="18.75">
      <c r="C63" s="164"/>
      <c r="D63" s="351" t="s">
        <v>142</v>
      </c>
      <c r="E63" s="350"/>
      <c r="F63" s="350"/>
      <c r="G63" s="352">
        <v>0</v>
      </c>
      <c r="H63" s="352"/>
      <c r="I63" s="178"/>
      <c r="K63" s="176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3:27" ht="19.5" thickBot="1">
      <c r="C64" s="164"/>
      <c r="D64" s="351" t="s">
        <v>143</v>
      </c>
      <c r="E64" s="350"/>
      <c r="F64" s="350"/>
      <c r="G64" s="353">
        <f>I61-G62</f>
        <v>1527.67</v>
      </c>
      <c r="H64" s="353"/>
      <c r="I64" s="178"/>
      <c r="K64" s="176"/>
      <c r="L64" s="44"/>
      <c r="M64" s="189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3:27" ht="18.75">
      <c r="C65" s="164"/>
      <c r="D65" s="350" t="s">
        <v>113</v>
      </c>
      <c r="E65" s="350"/>
      <c r="F65" s="350"/>
      <c r="G65" s="354">
        <f>SUM(G62:H64)</f>
        <v>1892.67</v>
      </c>
      <c r="H65" s="355"/>
      <c r="I65" s="178"/>
      <c r="K65" s="176"/>
      <c r="L65" s="44"/>
      <c r="M65" s="189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s="159" customFormat="1" ht="15">
      <c r="A66" s="357" t="s">
        <v>114</v>
      </c>
      <c r="B66" s="358"/>
      <c r="C66" s="358"/>
      <c r="D66" s="358"/>
      <c r="E66" s="358"/>
      <c r="F66" s="358"/>
      <c r="G66" s="358"/>
      <c r="H66" s="358"/>
      <c r="I66" s="358"/>
      <c r="J66" s="359"/>
      <c r="K66" s="148"/>
      <c r="L66" s="188"/>
      <c r="M66" s="189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</row>
    <row r="67" spans="1:27" s="23" customFormat="1" ht="12.75">
      <c r="A67" s="160"/>
      <c r="B67">
        <f>(22*3)+(24*3)</f>
        <v>138</v>
      </c>
      <c r="C67" s="347" t="s">
        <v>121</v>
      </c>
      <c r="D67" s="347"/>
      <c r="E67" s="348"/>
      <c r="F67" s="348"/>
      <c r="G67" s="348"/>
      <c r="H67" s="348"/>
      <c r="I67" s="162">
        <f>B67*H15</f>
        <v>828</v>
      </c>
      <c r="K67" s="151"/>
      <c r="L67" s="44"/>
      <c r="M67" s="189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s="23" customFormat="1" ht="13.5" thickBot="1">
      <c r="A68" s="167"/>
      <c r="B68" s="164"/>
      <c r="C68" s="350" t="s">
        <v>125</v>
      </c>
      <c r="D68" s="350"/>
      <c r="E68" s="350"/>
      <c r="F68" s="350"/>
      <c r="G68" s="350"/>
      <c r="H68" s="350"/>
      <c r="I68" s="163">
        <f>11+3+18+3+3+20+1+7.5+7+2</f>
        <v>75.5</v>
      </c>
      <c r="K68" s="151"/>
      <c r="L68" s="44"/>
      <c r="M68" s="189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4:27" ht="18.75">
      <c r="D69" s="349" t="s">
        <v>115</v>
      </c>
      <c r="E69" s="349"/>
      <c r="F69" s="349"/>
      <c r="G69" s="349"/>
      <c r="H69" s="349"/>
      <c r="I69" s="184">
        <f>SUM(I67:I68)</f>
        <v>903.5</v>
      </c>
      <c r="L69" s="44"/>
      <c r="M69" s="189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4:27" ht="12.75">
      <c r="D70" s="185"/>
      <c r="E70" s="185"/>
      <c r="F70" s="185"/>
      <c r="G70" s="185"/>
      <c r="H70" s="186"/>
      <c r="I70" s="18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4:27" ht="12.75">
      <c r="D71" s="345" t="str">
        <f>CONCATENATE("SBCampo, ",TEXT(cronograma!$C$4+3,"dd/mm/aaaa"))</f>
        <v>SBCampo, 06/07/2010</v>
      </c>
      <c r="E71" s="345"/>
      <c r="F71" s="345"/>
      <c r="G71" s="345"/>
      <c r="H71" s="345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2:27" ht="12.75"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2:27" ht="12.75"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2:27" ht="12.75"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4:27" ht="15.75">
      <c r="D75" s="346" t="s">
        <v>356</v>
      </c>
      <c r="E75" s="346"/>
      <c r="F75" s="346"/>
      <c r="G75" s="346"/>
      <c r="H75" s="346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4:27" ht="12.75">
      <c r="D76" s="345" t="s">
        <v>116</v>
      </c>
      <c r="E76" s="345"/>
      <c r="F76" s="345"/>
      <c r="G76" s="345"/>
      <c r="H76" s="345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2:27" ht="12.75"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1:27" ht="12.75">
      <c r="A78" s="44"/>
      <c r="B78" s="44"/>
      <c r="C78" s="44"/>
      <c r="D78" s="44"/>
      <c r="E78" s="44"/>
      <c r="F78" s="44"/>
      <c r="G78" s="190"/>
      <c r="H78" s="191"/>
      <c r="I78" s="192"/>
      <c r="J78" s="44"/>
      <c r="K78" s="193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2.75">
      <c r="A79" s="44"/>
      <c r="B79" s="44"/>
      <c r="C79" s="44"/>
      <c r="D79" s="44"/>
      <c r="E79" s="44"/>
      <c r="F79" s="44"/>
      <c r="G79" s="190"/>
      <c r="H79" s="191"/>
      <c r="I79" s="192"/>
      <c r="J79" s="44"/>
      <c r="K79" s="193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2.75">
      <c r="A80" s="44"/>
      <c r="B80" s="44"/>
      <c r="C80" s="44"/>
      <c r="D80" s="44"/>
      <c r="E80" s="44"/>
      <c r="F80" s="44"/>
      <c r="G80" s="190"/>
      <c r="H80" s="191"/>
      <c r="I80" s="192"/>
      <c r="J80" s="44"/>
      <c r="K80" s="193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7" ht="12.75">
      <c r="A81" s="44"/>
      <c r="B81" s="44"/>
      <c r="C81" s="44"/>
      <c r="D81" s="44"/>
      <c r="E81" s="44"/>
      <c r="F81" s="44"/>
      <c r="G81" s="190"/>
      <c r="H81" s="191"/>
      <c r="I81" s="192"/>
      <c r="J81" s="44"/>
      <c r="K81" s="193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ht="12.75">
      <c r="A82" s="44"/>
      <c r="B82" s="44"/>
      <c r="C82" s="44"/>
      <c r="D82" s="44"/>
      <c r="E82" s="44"/>
      <c r="F82" s="44"/>
      <c r="G82" s="190"/>
      <c r="H82" s="191"/>
      <c r="I82" s="192"/>
      <c r="J82" s="44"/>
      <c r="K82" s="193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7" ht="12.75">
      <c r="A83" s="44"/>
      <c r="B83" s="44"/>
      <c r="C83" s="44"/>
      <c r="D83" s="44"/>
      <c r="E83" s="44"/>
      <c r="F83" s="44"/>
      <c r="G83" s="190"/>
      <c r="H83" s="191"/>
      <c r="I83" s="192"/>
      <c r="J83" s="44"/>
      <c r="K83" s="193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1:27" ht="12.75">
      <c r="A84" s="44"/>
      <c r="B84" s="44"/>
      <c r="C84" s="44"/>
      <c r="D84" s="44"/>
      <c r="E84" s="44"/>
      <c r="F84" s="44"/>
      <c r="G84" s="190"/>
      <c r="H84" s="191"/>
      <c r="I84" s="192"/>
      <c r="J84" s="44"/>
      <c r="K84" s="193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ht="12.75">
      <c r="A85" s="44"/>
      <c r="B85" s="44"/>
      <c r="C85" s="44"/>
      <c r="D85" s="44"/>
      <c r="E85" s="44"/>
      <c r="F85" s="44"/>
      <c r="G85" s="190"/>
      <c r="H85" s="191"/>
      <c r="I85" s="192"/>
      <c r="J85" s="44"/>
      <c r="K85" s="193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1:27" ht="12.75">
      <c r="A86" s="44"/>
      <c r="B86" s="44"/>
      <c r="C86" s="44"/>
      <c r="D86" s="44"/>
      <c r="E86" s="44"/>
      <c r="F86" s="44"/>
      <c r="G86" s="190"/>
      <c r="H86" s="191"/>
      <c r="I86" s="192"/>
      <c r="J86" s="44"/>
      <c r="K86" s="193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 ht="12.75">
      <c r="A87" s="44"/>
      <c r="B87" s="44"/>
      <c r="C87" s="44"/>
      <c r="D87" s="44"/>
      <c r="E87" s="44"/>
      <c r="F87" s="44"/>
      <c r="G87" s="190"/>
      <c r="H87" s="191"/>
      <c r="I87" s="192"/>
      <c r="J87" s="44"/>
      <c r="K87" s="193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7" ht="12.75">
      <c r="A88" s="44"/>
      <c r="B88" s="44"/>
      <c r="C88" s="44"/>
      <c r="D88" s="44"/>
      <c r="E88" s="44"/>
      <c r="F88" s="44"/>
      <c r="G88" s="190"/>
      <c r="H88" s="191"/>
      <c r="I88" s="192"/>
      <c r="J88" s="44"/>
      <c r="K88" s="193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1:27" ht="12.75">
      <c r="A89" s="44"/>
      <c r="B89" s="44"/>
      <c r="C89" s="44"/>
      <c r="D89" s="44"/>
      <c r="E89" s="44"/>
      <c r="F89" s="44"/>
      <c r="G89" s="190"/>
      <c r="H89" s="191"/>
      <c r="I89" s="192"/>
      <c r="J89" s="44"/>
      <c r="K89" s="193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1:27" ht="12.75">
      <c r="A90" s="44"/>
      <c r="B90" s="44"/>
      <c r="C90" s="44"/>
      <c r="D90" s="44"/>
      <c r="E90" s="44"/>
      <c r="F90" s="44"/>
      <c r="G90" s="190"/>
      <c r="H90" s="191"/>
      <c r="I90" s="192"/>
      <c r="J90" s="44"/>
      <c r="K90" s="193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 ht="12.75">
      <c r="A91" s="44"/>
      <c r="B91" s="44"/>
      <c r="C91" s="44"/>
      <c r="D91" s="44"/>
      <c r="E91" s="44"/>
      <c r="F91" s="44"/>
      <c r="G91" s="190"/>
      <c r="H91" s="191"/>
      <c r="I91" s="192"/>
      <c r="J91" s="44"/>
      <c r="K91" s="193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27" ht="12.75">
      <c r="A92" s="44"/>
      <c r="B92" s="44"/>
      <c r="C92" s="44"/>
      <c r="D92" s="44"/>
      <c r="E92" s="44"/>
      <c r="F92" s="44"/>
      <c r="G92" s="190"/>
      <c r="H92" s="191"/>
      <c r="I92" s="192"/>
      <c r="J92" s="44"/>
      <c r="K92" s="193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1:27" ht="12.75">
      <c r="A93" s="44"/>
      <c r="B93" s="44"/>
      <c r="C93" s="44"/>
      <c r="D93" s="44"/>
      <c r="E93" s="44"/>
      <c r="F93" s="44"/>
      <c r="G93" s="190"/>
      <c r="H93" s="191"/>
      <c r="I93" s="192"/>
      <c r="J93" s="44"/>
      <c r="K93" s="193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2.75">
      <c r="A94" s="44"/>
      <c r="B94" s="44"/>
      <c r="C94" s="44"/>
      <c r="D94" s="44"/>
      <c r="E94" s="44"/>
      <c r="F94" s="44"/>
      <c r="G94" s="190"/>
      <c r="H94" s="191"/>
      <c r="I94" s="192"/>
      <c r="J94" s="44"/>
      <c r="K94" s="193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2.75">
      <c r="A95" s="44"/>
      <c r="B95" s="44"/>
      <c r="C95" s="44"/>
      <c r="D95" s="44"/>
      <c r="E95" s="44"/>
      <c r="F95" s="44"/>
      <c r="G95" s="190"/>
      <c r="H95" s="191"/>
      <c r="I95" s="192"/>
      <c r="J95" s="44"/>
      <c r="K95" s="193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1:27" ht="12.75">
      <c r="A96" s="44"/>
      <c r="B96" s="44"/>
      <c r="C96" s="44"/>
      <c r="D96" s="44"/>
      <c r="E96" s="44"/>
      <c r="F96" s="44"/>
      <c r="G96" s="190"/>
      <c r="H96" s="191"/>
      <c r="I96" s="192"/>
      <c r="J96" s="44"/>
      <c r="K96" s="193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</row>
    <row r="97" spans="1:27" ht="12.75">
      <c r="A97" s="44"/>
      <c r="B97" s="44"/>
      <c r="C97" s="44"/>
      <c r="D97" s="44"/>
      <c r="E97" s="44"/>
      <c r="F97" s="44"/>
      <c r="G97" s="190"/>
      <c r="H97" s="191"/>
      <c r="I97" s="192"/>
      <c r="J97" s="44"/>
      <c r="K97" s="193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1:27" ht="12.75">
      <c r="A98" s="44"/>
      <c r="B98" s="44"/>
      <c r="C98" s="44"/>
      <c r="D98" s="44"/>
      <c r="E98" s="44"/>
      <c r="F98" s="44"/>
      <c r="G98" s="190"/>
      <c r="H98" s="191"/>
      <c r="I98" s="192"/>
      <c r="J98" s="44"/>
      <c r="K98" s="193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27" ht="12.75">
      <c r="A99" s="44"/>
      <c r="B99" s="44"/>
      <c r="C99" s="44"/>
      <c r="D99" s="44"/>
      <c r="E99" s="44"/>
      <c r="F99" s="44"/>
      <c r="G99" s="190"/>
      <c r="H99" s="191"/>
      <c r="I99" s="192"/>
      <c r="J99" s="44"/>
      <c r="K99" s="193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27" ht="12.75">
      <c r="A100" s="44"/>
      <c r="B100" s="44"/>
      <c r="C100" s="44"/>
      <c r="D100" s="44"/>
      <c r="E100" s="44"/>
      <c r="F100" s="44"/>
      <c r="G100" s="190"/>
      <c r="H100" s="191"/>
      <c r="I100" s="192"/>
      <c r="J100" s="44"/>
      <c r="K100" s="193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2.75">
      <c r="A101" s="44"/>
      <c r="B101" s="44"/>
      <c r="C101" s="44"/>
      <c r="D101" s="44"/>
      <c r="E101" s="44"/>
      <c r="F101" s="44"/>
      <c r="G101" s="190"/>
      <c r="H101" s="191"/>
      <c r="I101" s="192"/>
      <c r="J101" s="44"/>
      <c r="K101" s="193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 ht="12.75">
      <c r="A102" s="44"/>
      <c r="B102" s="44"/>
      <c r="C102" s="44"/>
      <c r="D102" s="44"/>
      <c r="E102" s="44"/>
      <c r="F102" s="44"/>
      <c r="G102" s="190"/>
      <c r="H102" s="191"/>
      <c r="I102" s="192"/>
      <c r="J102" s="44"/>
      <c r="K102" s="193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 ht="12.75">
      <c r="A103" s="44"/>
      <c r="B103" s="44"/>
      <c r="C103" s="44"/>
      <c r="D103" s="44"/>
      <c r="E103" s="44"/>
      <c r="F103" s="44"/>
      <c r="G103" s="190"/>
      <c r="H103" s="191"/>
      <c r="I103" s="192"/>
      <c r="J103" s="44"/>
      <c r="K103" s="193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ht="12.75">
      <c r="A104" s="44"/>
      <c r="B104" s="44"/>
      <c r="C104" s="44"/>
      <c r="D104" s="44"/>
      <c r="E104" s="44"/>
      <c r="F104" s="44"/>
      <c r="G104" s="190"/>
      <c r="H104" s="191"/>
      <c r="I104" s="192"/>
      <c r="J104" s="44"/>
      <c r="K104" s="193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1:27" ht="12.75">
      <c r="A105" s="44"/>
      <c r="B105" s="44"/>
      <c r="C105" s="44"/>
      <c r="D105" s="44"/>
      <c r="E105" s="44"/>
      <c r="F105" s="44"/>
      <c r="G105" s="190"/>
      <c r="H105" s="191"/>
      <c r="I105" s="192"/>
      <c r="J105" s="44"/>
      <c r="K105" s="193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1:27" ht="12.75">
      <c r="A106" s="44"/>
      <c r="B106" s="44"/>
      <c r="C106" s="44"/>
      <c r="D106" s="44"/>
      <c r="E106" s="44"/>
      <c r="F106" s="44"/>
      <c r="G106" s="190"/>
      <c r="H106" s="191"/>
      <c r="I106" s="192"/>
      <c r="J106" s="44"/>
      <c r="K106" s="193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12.75">
      <c r="A107" s="44"/>
      <c r="B107" s="44"/>
      <c r="C107" s="44"/>
      <c r="D107" s="44"/>
      <c r="E107" s="44"/>
      <c r="F107" s="44"/>
      <c r="G107" s="190"/>
      <c r="H107" s="191"/>
      <c r="I107" s="192"/>
      <c r="J107" s="44"/>
      <c r="K107" s="193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</sheetData>
  <sheetProtection/>
  <mergeCells count="75">
    <mergeCell ref="M26:O26"/>
    <mergeCell ref="C35:D35"/>
    <mergeCell ref="E35:H35"/>
    <mergeCell ref="C27:H27"/>
    <mergeCell ref="C28:H28"/>
    <mergeCell ref="D33:H33"/>
    <mergeCell ref="E17:H17"/>
    <mergeCell ref="A2:H3"/>
    <mergeCell ref="A6:H8"/>
    <mergeCell ref="B11:G12"/>
    <mergeCell ref="A14:J14"/>
    <mergeCell ref="C42:H42"/>
    <mergeCell ref="C34:D34"/>
    <mergeCell ref="E34:H34"/>
    <mergeCell ref="C29:H29"/>
    <mergeCell ref="C32:H32"/>
    <mergeCell ref="A58:J58"/>
    <mergeCell ref="A16:J16"/>
    <mergeCell ref="C19:D19"/>
    <mergeCell ref="E22:H22"/>
    <mergeCell ref="C20:D20"/>
    <mergeCell ref="C21:D21"/>
    <mergeCell ref="E21:H21"/>
    <mergeCell ref="C22:D22"/>
    <mergeCell ref="C17:D17"/>
    <mergeCell ref="C18:D18"/>
    <mergeCell ref="A66:J66"/>
    <mergeCell ref="C45:H45"/>
    <mergeCell ref="C40:H40"/>
    <mergeCell ref="D61:H61"/>
    <mergeCell ref="D55:H55"/>
    <mergeCell ref="E26:H26"/>
    <mergeCell ref="C60:H60"/>
    <mergeCell ref="D37:H37"/>
    <mergeCell ref="D56:G56"/>
    <mergeCell ref="C54:H54"/>
    <mergeCell ref="E23:H23"/>
    <mergeCell ref="C23:D23"/>
    <mergeCell ref="E25:H25"/>
    <mergeCell ref="C25:D25"/>
    <mergeCell ref="C26:D26"/>
    <mergeCell ref="D24:H24"/>
    <mergeCell ref="E18:H18"/>
    <mergeCell ref="E19:H19"/>
    <mergeCell ref="E20:H20"/>
    <mergeCell ref="C59:H59"/>
    <mergeCell ref="C47:H47"/>
    <mergeCell ref="C48:H48"/>
    <mergeCell ref="C49:H49"/>
    <mergeCell ref="C50:H50"/>
    <mergeCell ref="C30:H30"/>
    <mergeCell ref="C31:H31"/>
    <mergeCell ref="C51:H51"/>
    <mergeCell ref="C53:H53"/>
    <mergeCell ref="C52:H52"/>
    <mergeCell ref="A39:J39"/>
    <mergeCell ref="C41:H41"/>
    <mergeCell ref="C46:H46"/>
    <mergeCell ref="C43:H43"/>
    <mergeCell ref="C44:H44"/>
    <mergeCell ref="D64:F64"/>
    <mergeCell ref="D65:F65"/>
    <mergeCell ref="G62:H62"/>
    <mergeCell ref="G64:H64"/>
    <mergeCell ref="G65:H65"/>
    <mergeCell ref="D63:F63"/>
    <mergeCell ref="G63:H63"/>
    <mergeCell ref="D62:F62"/>
    <mergeCell ref="D76:H76"/>
    <mergeCell ref="D75:H75"/>
    <mergeCell ref="D71:H71"/>
    <mergeCell ref="C67:D67"/>
    <mergeCell ref="E67:H67"/>
    <mergeCell ref="D69:H69"/>
    <mergeCell ref="C68:H68"/>
  </mergeCells>
  <printOptions/>
  <pageMargins left="1.23" right="0.3" top="0.37" bottom="0.41" header="0.25" footer="0.21"/>
  <pageSetup fitToHeight="1" fitToWidth="1" horizontalDpi="600" verticalDpi="600" orientation="portrait" paperSize="9" scale="75" r:id="rId2"/>
  <headerFooter alignWithMargins="0">
    <oddFooter>&amp;Rarq: &amp;F  *  plan: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Z100"/>
  <sheetViews>
    <sheetView zoomScalePageLayoutView="0" workbookViewId="0" topLeftCell="A1">
      <selection activeCell="A43" sqref="A43:E44"/>
    </sheetView>
  </sheetViews>
  <sheetFormatPr defaultColWidth="9.140625" defaultRowHeight="12.75"/>
  <sheetData>
    <row r="1" spans="1:26" ht="10.5" customHeight="1" thickTop="1">
      <c r="A1" s="418" t="str">
        <f>CONCATENATE(cronograma!$C$3," do")</f>
        <v>Festa Junina do</v>
      </c>
      <c r="B1" s="419"/>
      <c r="C1" s="419"/>
      <c r="D1" s="419"/>
      <c r="E1" s="420"/>
      <c r="F1" s="418" t="str">
        <f>$A$1</f>
        <v>Festa Junina do</v>
      </c>
      <c r="G1" s="419"/>
      <c r="H1" s="419"/>
      <c r="I1" s="419"/>
      <c r="J1" s="420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.75" customHeight="1">
      <c r="A2" s="421"/>
      <c r="B2" s="422"/>
      <c r="C2" s="422"/>
      <c r="D2" s="422"/>
      <c r="E2" s="423"/>
      <c r="F2" s="421"/>
      <c r="G2" s="422"/>
      <c r="H2" s="422"/>
      <c r="I2" s="422"/>
      <c r="J2" s="42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.75" customHeight="1">
      <c r="A3" s="421" t="str">
        <f>cronograma!$J$1</f>
        <v>GE Guaianazes</v>
      </c>
      <c r="B3" s="422"/>
      <c r="C3" s="422"/>
      <c r="D3" s="422"/>
      <c r="E3" s="423"/>
      <c r="F3" s="421" t="str">
        <f>$A$3</f>
        <v>GE Guaianazes</v>
      </c>
      <c r="G3" s="422"/>
      <c r="H3" s="422"/>
      <c r="I3" s="422"/>
      <c r="J3" s="42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9.75" customHeight="1">
      <c r="A4" s="421"/>
      <c r="B4" s="422"/>
      <c r="C4" s="422"/>
      <c r="D4" s="422"/>
      <c r="E4" s="423"/>
      <c r="F4" s="421"/>
      <c r="G4" s="422"/>
      <c r="H4" s="422"/>
      <c r="I4" s="422"/>
      <c r="J4" s="42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0.5" customHeight="1">
      <c r="A5" s="421"/>
      <c r="B5" s="422"/>
      <c r="C5" s="422"/>
      <c r="D5" s="422"/>
      <c r="E5" s="423"/>
      <c r="F5" s="421"/>
      <c r="G5" s="422"/>
      <c r="H5" s="422"/>
      <c r="I5" s="422"/>
      <c r="J5" s="42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.75" customHeight="1">
      <c r="A6" s="391" t="str">
        <f>cronograma!C11</f>
        <v>VAI TER: bingo, jogos, comidas típicas e muita animação !</v>
      </c>
      <c r="B6" s="392"/>
      <c r="C6" s="392"/>
      <c r="D6" s="392"/>
      <c r="E6" s="393"/>
      <c r="F6" s="391" t="str">
        <f>$A$6</f>
        <v>VAI TER: bingo, jogos, comidas típicas e muita animação !</v>
      </c>
      <c r="G6" s="392"/>
      <c r="H6" s="392"/>
      <c r="I6" s="392"/>
      <c r="J6" s="39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.75" customHeight="1">
      <c r="A7" s="391"/>
      <c r="B7" s="392"/>
      <c r="C7" s="392"/>
      <c r="D7" s="392"/>
      <c r="E7" s="393"/>
      <c r="F7" s="391"/>
      <c r="G7" s="392"/>
      <c r="H7" s="392"/>
      <c r="I7" s="392"/>
      <c r="J7" s="39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5.75" customHeight="1">
      <c r="A8" s="400" t="str">
        <f>(CONCATENATE("no ",cronograma!$E$4,", dia ",TEXT(cronograma!$C$4,"dd/mm/aaaa")," das ",cronograma!$C$5," às ",cronograma!$E$5," h"))</f>
        <v>no sábado, dia 03/07/2010 das 18 às 21 h</v>
      </c>
      <c r="B8" s="401"/>
      <c r="C8" s="401"/>
      <c r="D8" s="401"/>
      <c r="E8" s="402"/>
      <c r="F8" s="400" t="str">
        <f>$A$8</f>
        <v>no sábado, dia 03/07/2010 das 18 às 21 h</v>
      </c>
      <c r="G8" s="401"/>
      <c r="H8" s="401"/>
      <c r="I8" s="401"/>
      <c r="J8" s="402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.75" customHeight="1">
      <c r="A9" s="400"/>
      <c r="B9" s="401"/>
      <c r="C9" s="401"/>
      <c r="D9" s="401"/>
      <c r="E9" s="402"/>
      <c r="F9" s="400"/>
      <c r="G9" s="401"/>
      <c r="H9" s="401"/>
      <c r="I9" s="401"/>
      <c r="J9" s="402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.75" customHeight="1">
      <c r="A10" s="137"/>
      <c r="B10" s="138"/>
      <c r="C10" s="138"/>
      <c r="D10" s="138"/>
      <c r="E10" s="139"/>
      <c r="F10" s="137"/>
      <c r="G10" s="138"/>
      <c r="H10" s="138"/>
      <c r="I10" s="138"/>
      <c r="J10" s="139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 customHeight="1">
      <c r="A11" s="384" t="str">
        <f>CONCATENATE("preço: ",TEXT(cronograma!$C$6,"R$ ##,00")," com direito a ",cronograma!$E$6,", ",cronograma!$E$7,", ",cronograma!$E$8,", ",cronograma!$E$9,".")</f>
        <v>preço: R$ 6,00 com direito a um espetinho, 200ml de refrigerante, uma pipoca E um doce, um jogo.</v>
      </c>
      <c r="B11" s="385"/>
      <c r="C11" s="385"/>
      <c r="D11" s="385"/>
      <c r="E11" s="386"/>
      <c r="F11" s="384" t="str">
        <f>$A$11</f>
        <v>preço: R$ 6,00 com direito a um espetinho, 200ml de refrigerante, uma pipoca E um doce, um jogo.</v>
      </c>
      <c r="G11" s="385"/>
      <c r="H11" s="385"/>
      <c r="I11" s="385"/>
      <c r="J11" s="38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4.75" customHeight="1">
      <c r="A12" s="387"/>
      <c r="B12" s="385"/>
      <c r="C12" s="385"/>
      <c r="D12" s="385"/>
      <c r="E12" s="386"/>
      <c r="F12" s="387"/>
      <c r="G12" s="385"/>
      <c r="H12" s="385"/>
      <c r="I12" s="385"/>
      <c r="J12" s="386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.75" customHeight="1">
      <c r="A13" s="61"/>
      <c r="B13" s="62"/>
      <c r="C13" s="62"/>
      <c r="D13" s="62"/>
      <c r="E13" s="63"/>
      <c r="F13" s="61"/>
      <c r="G13" s="62"/>
      <c r="H13" s="62"/>
      <c r="I13" s="62"/>
      <c r="J13" s="6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 customHeight="1">
      <c r="A14" s="61"/>
      <c r="B14" s="62"/>
      <c r="C14" s="62"/>
      <c r="D14" s="62"/>
      <c r="E14" s="63"/>
      <c r="F14" s="61"/>
      <c r="G14" s="62"/>
      <c r="H14" s="62"/>
      <c r="I14" s="62"/>
      <c r="J14" s="6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 customHeight="1">
      <c r="A15" s="61"/>
      <c r="B15" s="62"/>
      <c r="C15" s="62"/>
      <c r="D15" s="62"/>
      <c r="E15" s="63"/>
      <c r="F15" s="61"/>
      <c r="G15" s="62"/>
      <c r="H15" s="62"/>
      <c r="I15" s="62"/>
      <c r="J15" s="6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 customHeight="1">
      <c r="A16" s="64"/>
      <c r="B16" s="65"/>
      <c r="C16" s="65"/>
      <c r="D16" s="65"/>
      <c r="E16" s="66"/>
      <c r="F16" s="64"/>
      <c r="G16" s="65"/>
      <c r="H16" s="65"/>
      <c r="I16" s="65"/>
      <c r="J16" s="6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 customHeight="1">
      <c r="A17" s="64"/>
      <c r="B17" s="65"/>
      <c r="C17" s="65"/>
      <c r="D17" s="65"/>
      <c r="E17" s="66"/>
      <c r="F17" s="64"/>
      <c r="G17" s="65"/>
      <c r="H17" s="65"/>
      <c r="I17" s="65"/>
      <c r="J17" s="6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customHeight="1">
      <c r="A18" s="64"/>
      <c r="B18" s="65"/>
      <c r="C18" s="65"/>
      <c r="D18" s="65"/>
      <c r="E18" s="66"/>
      <c r="F18" s="64"/>
      <c r="G18" s="65"/>
      <c r="H18" s="65"/>
      <c r="I18" s="65"/>
      <c r="J18" s="6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.75" customHeight="1">
      <c r="A19" s="64"/>
      <c r="B19" s="65"/>
      <c r="C19" s="65"/>
      <c r="D19" s="65"/>
      <c r="E19" s="66"/>
      <c r="F19" s="64"/>
      <c r="G19" s="65"/>
      <c r="H19" s="65"/>
      <c r="I19" s="65"/>
      <c r="J19" s="6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customHeight="1">
      <c r="A20" s="64"/>
      <c r="B20" s="65"/>
      <c r="C20" s="65"/>
      <c r="D20" s="65"/>
      <c r="E20" s="66"/>
      <c r="F20" s="64"/>
      <c r="G20" s="65"/>
      <c r="H20" s="65"/>
      <c r="I20" s="65"/>
      <c r="J20" s="6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 customHeight="1">
      <c r="A21" s="64"/>
      <c r="B21" s="65"/>
      <c r="C21" s="65"/>
      <c r="D21" s="65"/>
      <c r="E21" s="66"/>
      <c r="F21" s="64"/>
      <c r="G21" s="65"/>
      <c r="H21" s="65"/>
      <c r="I21" s="65"/>
      <c r="J21" s="6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 customHeight="1">
      <c r="A22" s="67"/>
      <c r="B22" s="68"/>
      <c r="C22" s="68"/>
      <c r="D22" s="68"/>
      <c r="E22" s="69"/>
      <c r="F22" s="67"/>
      <c r="G22" s="68"/>
      <c r="H22" s="68"/>
      <c r="I22" s="68"/>
      <c r="J22" s="69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.75" customHeight="1">
      <c r="A23" s="394" t="str">
        <f>CONCATENATE("local: ",cronograma!$C$2," ",cronograma!$J$2)</f>
        <v>local: Av. Imp. Leopoldina, 730 Nova Petrópolis - SBCampo</v>
      </c>
      <c r="B23" s="395"/>
      <c r="C23" s="395"/>
      <c r="D23" s="395"/>
      <c r="E23" s="396"/>
      <c r="F23" s="394" t="str">
        <f>$A$23</f>
        <v>local: Av. Imp. Leopoldina, 730 Nova Petrópolis - SBCampo</v>
      </c>
      <c r="G23" s="395"/>
      <c r="H23" s="395"/>
      <c r="I23" s="395"/>
      <c r="J23" s="396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25" customHeight="1">
      <c r="A24" s="394"/>
      <c r="B24" s="395"/>
      <c r="C24" s="395"/>
      <c r="D24" s="395"/>
      <c r="E24" s="396"/>
      <c r="F24" s="394"/>
      <c r="G24" s="395"/>
      <c r="H24" s="395"/>
      <c r="I24" s="395"/>
      <c r="J24" s="396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8" customHeight="1">
      <c r="A25" s="397" t="str">
        <f>cronograma!$C$10</f>
        <v>ingresso pago até 26/junho custa R$5,00</v>
      </c>
      <c r="B25" s="398"/>
      <c r="C25" s="398"/>
      <c r="D25" s="398"/>
      <c r="E25" s="399"/>
      <c r="F25" s="397" t="str">
        <f>$A$25</f>
        <v>ingresso pago até 26/junho custa R$5,00</v>
      </c>
      <c r="G25" s="398"/>
      <c r="H25" s="398"/>
      <c r="I25" s="398"/>
      <c r="J25" s="399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 customHeight="1">
      <c r="A26" s="397"/>
      <c r="B26" s="398"/>
      <c r="C26" s="398"/>
      <c r="D26" s="398"/>
      <c r="E26" s="399"/>
      <c r="F26" s="397"/>
      <c r="G26" s="398"/>
      <c r="H26" s="398"/>
      <c r="I26" s="398"/>
      <c r="J26" s="399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 customHeight="1">
      <c r="A27" s="403" t="s">
        <v>20</v>
      </c>
      <c r="B27" s="404"/>
      <c r="C27" s="404"/>
      <c r="D27" s="404"/>
      <c r="E27" s="405"/>
      <c r="F27" s="403" t="str">
        <f>$A$27</f>
        <v>Esperamos por você!!!</v>
      </c>
      <c r="G27" s="404"/>
      <c r="H27" s="404"/>
      <c r="I27" s="404"/>
      <c r="J27" s="405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 customHeight="1">
      <c r="A28" s="403"/>
      <c r="B28" s="404"/>
      <c r="C28" s="404"/>
      <c r="D28" s="404"/>
      <c r="E28" s="405"/>
      <c r="F28" s="403"/>
      <c r="G28" s="404"/>
      <c r="H28" s="404"/>
      <c r="I28" s="404"/>
      <c r="J28" s="40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9.5">
      <c r="A29" s="403" t="s">
        <v>21</v>
      </c>
      <c r="B29" s="404"/>
      <c r="C29" s="404"/>
      <c r="D29" s="404"/>
      <c r="E29" s="405"/>
      <c r="F29" s="403" t="str">
        <f>$A$29</f>
        <v>SEMPRE ALERTA!!!</v>
      </c>
      <c r="G29" s="404"/>
      <c r="H29" s="404"/>
      <c r="I29" s="404"/>
      <c r="J29" s="40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>
      <c r="A30" s="409"/>
      <c r="B30" s="410"/>
      <c r="C30" s="410"/>
      <c r="D30" s="410"/>
      <c r="E30" s="411"/>
      <c r="F30" s="409"/>
      <c r="G30" s="410"/>
      <c r="H30" s="410"/>
      <c r="I30" s="410"/>
      <c r="J30" s="41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">
      <c r="A31" s="388" t="s">
        <v>22</v>
      </c>
      <c r="B31" s="389"/>
      <c r="C31" s="389"/>
      <c r="D31" s="389"/>
      <c r="E31" s="390"/>
      <c r="F31" s="388" t="str">
        <f>$A$31</f>
        <v>Grupo Escoteiro Guaianazes 68/SP</v>
      </c>
      <c r="G31" s="389"/>
      <c r="H31" s="389"/>
      <c r="I31" s="389"/>
      <c r="J31" s="390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thickBot="1">
      <c r="A32" s="406"/>
      <c r="B32" s="407"/>
      <c r="C32" s="407"/>
      <c r="D32" s="407"/>
      <c r="E32" s="408"/>
      <c r="F32" s="406"/>
      <c r="G32" s="407"/>
      <c r="H32" s="407"/>
      <c r="I32" s="407"/>
      <c r="J32" s="408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6.75" customHeight="1" thickTop="1">
      <c r="A33" s="418" t="str">
        <f>$A$1</f>
        <v>Festa Junina do</v>
      </c>
      <c r="B33" s="419"/>
      <c r="C33" s="419"/>
      <c r="D33" s="419"/>
      <c r="E33" s="420"/>
      <c r="F33" s="418" t="str">
        <f>$A$1</f>
        <v>Festa Junina do</v>
      </c>
      <c r="G33" s="419"/>
      <c r="H33" s="419"/>
      <c r="I33" s="419"/>
      <c r="J33" s="420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customHeight="1">
      <c r="A34" s="421"/>
      <c r="B34" s="422"/>
      <c r="C34" s="422"/>
      <c r="D34" s="422"/>
      <c r="E34" s="423"/>
      <c r="F34" s="421"/>
      <c r="G34" s="422"/>
      <c r="H34" s="422"/>
      <c r="I34" s="422"/>
      <c r="J34" s="42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customHeight="1">
      <c r="A35" s="421" t="str">
        <f>$A$3</f>
        <v>GE Guaianazes</v>
      </c>
      <c r="B35" s="422"/>
      <c r="C35" s="422"/>
      <c r="D35" s="422"/>
      <c r="E35" s="423"/>
      <c r="F35" s="421" t="str">
        <f>$A$3</f>
        <v>GE Guaianazes</v>
      </c>
      <c r="G35" s="422"/>
      <c r="H35" s="422"/>
      <c r="I35" s="422"/>
      <c r="J35" s="42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7.5" customHeight="1">
      <c r="A36" s="421"/>
      <c r="B36" s="422"/>
      <c r="C36" s="422"/>
      <c r="D36" s="422"/>
      <c r="E36" s="423"/>
      <c r="F36" s="421"/>
      <c r="G36" s="422"/>
      <c r="H36" s="422"/>
      <c r="I36" s="422"/>
      <c r="J36" s="423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9.75" customHeight="1">
      <c r="A37" s="421"/>
      <c r="B37" s="422"/>
      <c r="C37" s="422"/>
      <c r="D37" s="422"/>
      <c r="E37" s="423"/>
      <c r="F37" s="421"/>
      <c r="G37" s="422"/>
      <c r="H37" s="422"/>
      <c r="I37" s="422"/>
      <c r="J37" s="423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>
      <c r="A38" s="391" t="str">
        <f>$A$6</f>
        <v>VAI TER: bingo, jogos, comidas típicas e muita animação !</v>
      </c>
      <c r="B38" s="392"/>
      <c r="C38" s="392"/>
      <c r="D38" s="392"/>
      <c r="E38" s="393"/>
      <c r="F38" s="391" t="str">
        <f>$A$6</f>
        <v>VAI TER: bingo, jogos, comidas típicas e muita animação !</v>
      </c>
      <c r="G38" s="392"/>
      <c r="H38" s="392"/>
      <c r="I38" s="392"/>
      <c r="J38" s="393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>
      <c r="A39" s="391"/>
      <c r="B39" s="392"/>
      <c r="C39" s="392"/>
      <c r="D39" s="392"/>
      <c r="E39" s="393"/>
      <c r="F39" s="391"/>
      <c r="G39" s="392"/>
      <c r="H39" s="392"/>
      <c r="I39" s="392"/>
      <c r="J39" s="39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>
      <c r="A40" s="400" t="str">
        <f>$A$8</f>
        <v>no sábado, dia 03/07/2010 das 18 às 21 h</v>
      </c>
      <c r="B40" s="401"/>
      <c r="C40" s="401"/>
      <c r="D40" s="401"/>
      <c r="E40" s="402"/>
      <c r="F40" s="400" t="str">
        <f>$A$8</f>
        <v>no sábado, dia 03/07/2010 das 18 às 21 h</v>
      </c>
      <c r="G40" s="401"/>
      <c r="H40" s="401"/>
      <c r="I40" s="401"/>
      <c r="J40" s="40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>
      <c r="A41" s="400"/>
      <c r="B41" s="401"/>
      <c r="C41" s="401"/>
      <c r="D41" s="401"/>
      <c r="E41" s="402"/>
      <c r="F41" s="400"/>
      <c r="G41" s="401"/>
      <c r="H41" s="401"/>
      <c r="I41" s="401"/>
      <c r="J41" s="40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>
      <c r="A42" s="137"/>
      <c r="B42" s="138"/>
      <c r="C42" s="138"/>
      <c r="D42" s="138"/>
      <c r="E42" s="139"/>
      <c r="F42" s="137"/>
      <c r="G42" s="138"/>
      <c r="H42" s="138"/>
      <c r="I42" s="138"/>
      <c r="J42" s="139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>
      <c r="A43" s="384" t="str">
        <f>$A$11</f>
        <v>preço: R$ 6,00 com direito a um espetinho, 200ml de refrigerante, uma pipoca E um doce, um jogo.</v>
      </c>
      <c r="B43" s="385"/>
      <c r="C43" s="385"/>
      <c r="D43" s="385"/>
      <c r="E43" s="386"/>
      <c r="F43" s="384" t="str">
        <f>$A$11</f>
        <v>preço: R$ 6,00 com direito a um espetinho, 200ml de refrigerante, uma pipoca E um doce, um jogo.</v>
      </c>
      <c r="G43" s="385"/>
      <c r="H43" s="385"/>
      <c r="I43" s="385"/>
      <c r="J43" s="386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24" customHeight="1">
      <c r="A44" s="387"/>
      <c r="B44" s="385"/>
      <c r="C44" s="385"/>
      <c r="D44" s="385"/>
      <c r="E44" s="386"/>
      <c r="F44" s="387"/>
      <c r="G44" s="385"/>
      <c r="H44" s="385"/>
      <c r="I44" s="385"/>
      <c r="J44" s="386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>
      <c r="A45" s="61"/>
      <c r="B45" s="62"/>
      <c r="C45" s="62"/>
      <c r="D45" s="62"/>
      <c r="E45" s="63"/>
      <c r="F45" s="61"/>
      <c r="G45" s="62"/>
      <c r="H45" s="62"/>
      <c r="I45" s="62"/>
      <c r="J45" s="63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>
      <c r="A46" s="61"/>
      <c r="B46" s="62"/>
      <c r="C46" s="62"/>
      <c r="D46" s="62"/>
      <c r="E46" s="63"/>
      <c r="F46" s="61"/>
      <c r="G46" s="62"/>
      <c r="H46" s="62"/>
      <c r="I46" s="62"/>
      <c r="J46" s="63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>
      <c r="A47" s="61"/>
      <c r="B47" s="62"/>
      <c r="C47" s="62"/>
      <c r="D47" s="62"/>
      <c r="E47" s="63"/>
      <c r="F47" s="61"/>
      <c r="G47" s="62"/>
      <c r="H47" s="62"/>
      <c r="I47" s="62"/>
      <c r="J47" s="63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25">
      <c r="A48" s="64"/>
      <c r="B48" s="65"/>
      <c r="C48" s="65"/>
      <c r="D48" s="65"/>
      <c r="E48" s="66"/>
      <c r="F48" s="64"/>
      <c r="G48" s="65"/>
      <c r="H48" s="65"/>
      <c r="I48" s="65"/>
      <c r="J48" s="6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25">
      <c r="A49" s="64"/>
      <c r="B49" s="65"/>
      <c r="C49" s="65"/>
      <c r="D49" s="65"/>
      <c r="E49" s="66"/>
      <c r="F49" s="64"/>
      <c r="G49" s="65"/>
      <c r="H49" s="65"/>
      <c r="I49" s="65"/>
      <c r="J49" s="6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25">
      <c r="A50" s="64"/>
      <c r="B50" s="65"/>
      <c r="C50" s="65"/>
      <c r="D50" s="65"/>
      <c r="E50" s="66"/>
      <c r="F50" s="64"/>
      <c r="G50" s="65"/>
      <c r="H50" s="65"/>
      <c r="I50" s="65"/>
      <c r="J50" s="6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25">
      <c r="A51" s="64"/>
      <c r="B51" s="65"/>
      <c r="C51" s="65"/>
      <c r="D51" s="65"/>
      <c r="E51" s="66"/>
      <c r="F51" s="64"/>
      <c r="G51" s="65"/>
      <c r="H51" s="65"/>
      <c r="I51" s="65"/>
      <c r="J51" s="6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25">
      <c r="A52" s="64"/>
      <c r="B52" s="65"/>
      <c r="C52" s="65"/>
      <c r="D52" s="65"/>
      <c r="E52" s="66"/>
      <c r="F52" s="64"/>
      <c r="G52" s="65"/>
      <c r="H52" s="65"/>
      <c r="I52" s="65"/>
      <c r="J52" s="6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25">
      <c r="A53" s="64"/>
      <c r="B53" s="65"/>
      <c r="C53" s="65"/>
      <c r="D53" s="65"/>
      <c r="E53" s="66"/>
      <c r="F53" s="64"/>
      <c r="G53" s="65"/>
      <c r="H53" s="65"/>
      <c r="I53" s="65"/>
      <c r="J53" s="6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8.25" customHeight="1">
      <c r="A54" s="67"/>
      <c r="B54" s="68"/>
      <c r="C54" s="68"/>
      <c r="D54" s="68"/>
      <c r="E54" s="69"/>
      <c r="F54" s="67"/>
      <c r="G54" s="68"/>
      <c r="H54" s="68"/>
      <c r="I54" s="68"/>
      <c r="J54" s="69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22.5" customHeight="1">
      <c r="A55" s="415" t="str">
        <f>$A$23</f>
        <v>local: Av. Imp. Leopoldina, 730 Nova Petrópolis - SBCampo</v>
      </c>
      <c r="B55" s="416"/>
      <c r="C55" s="416"/>
      <c r="D55" s="416"/>
      <c r="E55" s="417"/>
      <c r="F55" s="415" t="str">
        <f>$A$23</f>
        <v>local: Av. Imp. Leopoldina, 730 Nova Petrópolis - SBCampo</v>
      </c>
      <c r="G55" s="416"/>
      <c r="H55" s="416"/>
      <c r="I55" s="416"/>
      <c r="J55" s="417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7.5" customHeight="1">
      <c r="A56" s="415"/>
      <c r="B56" s="416"/>
      <c r="C56" s="416"/>
      <c r="D56" s="416"/>
      <c r="E56" s="417"/>
      <c r="F56" s="415"/>
      <c r="G56" s="416"/>
      <c r="H56" s="416"/>
      <c r="I56" s="416"/>
      <c r="J56" s="417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>
      <c r="A57" s="397" t="str">
        <f>$A$25</f>
        <v>ingresso pago até 26/junho custa R$5,00</v>
      </c>
      <c r="B57" s="398"/>
      <c r="C57" s="398"/>
      <c r="D57" s="398"/>
      <c r="E57" s="399"/>
      <c r="F57" s="397" t="str">
        <f>$A$25</f>
        <v>ingresso pago até 26/junho custa R$5,00</v>
      </c>
      <c r="G57" s="398"/>
      <c r="H57" s="398"/>
      <c r="I57" s="398"/>
      <c r="J57" s="399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9.5" customHeight="1">
      <c r="A58" s="397"/>
      <c r="B58" s="398"/>
      <c r="C58" s="398"/>
      <c r="D58" s="398"/>
      <c r="E58" s="399"/>
      <c r="F58" s="397"/>
      <c r="G58" s="398"/>
      <c r="H58" s="398"/>
      <c r="I58" s="398"/>
      <c r="J58" s="399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>
      <c r="A59" s="403" t="str">
        <f>$A$27</f>
        <v>Esperamos por você!!!</v>
      </c>
      <c r="B59" s="404"/>
      <c r="C59" s="404"/>
      <c r="D59" s="404"/>
      <c r="E59" s="405"/>
      <c r="F59" s="403" t="str">
        <f>$A$27</f>
        <v>Esperamos por você!!!</v>
      </c>
      <c r="G59" s="404"/>
      <c r="H59" s="404"/>
      <c r="I59" s="404"/>
      <c r="J59" s="405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>
      <c r="A60" s="403"/>
      <c r="B60" s="404"/>
      <c r="C60" s="404"/>
      <c r="D60" s="404"/>
      <c r="E60" s="405"/>
      <c r="F60" s="403"/>
      <c r="G60" s="404"/>
      <c r="H60" s="404"/>
      <c r="I60" s="404"/>
      <c r="J60" s="405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9.5">
      <c r="A61" s="403" t="str">
        <f>$A$29</f>
        <v>SEMPRE ALERTA!!!</v>
      </c>
      <c r="B61" s="404"/>
      <c r="C61" s="404"/>
      <c r="D61" s="404"/>
      <c r="E61" s="405"/>
      <c r="F61" s="403" t="str">
        <f>$A$29</f>
        <v>SEMPRE ALERTA!!!</v>
      </c>
      <c r="G61" s="404"/>
      <c r="H61" s="404"/>
      <c r="I61" s="404"/>
      <c r="J61" s="405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>
      <c r="A62" s="412"/>
      <c r="B62" s="413"/>
      <c r="C62" s="413"/>
      <c r="D62" s="413"/>
      <c r="E62" s="414"/>
      <c r="F62" s="412"/>
      <c r="G62" s="413"/>
      <c r="H62" s="413"/>
      <c r="I62" s="413"/>
      <c r="J62" s="41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" customHeight="1">
      <c r="A63" s="388" t="str">
        <f>$A$31</f>
        <v>Grupo Escoteiro Guaianazes 68/SP</v>
      </c>
      <c r="B63" s="389"/>
      <c r="C63" s="389"/>
      <c r="D63" s="389"/>
      <c r="E63" s="390"/>
      <c r="F63" s="388" t="str">
        <f>$A$31</f>
        <v>Grupo Escoteiro Guaianazes 68/SP</v>
      </c>
      <c r="G63" s="389"/>
      <c r="H63" s="389"/>
      <c r="I63" s="389"/>
      <c r="J63" s="390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 thickBot="1">
      <c r="A64" s="406"/>
      <c r="B64" s="407"/>
      <c r="C64" s="407"/>
      <c r="D64" s="407"/>
      <c r="E64" s="408"/>
      <c r="F64" s="406"/>
      <c r="G64" s="407"/>
      <c r="H64" s="407"/>
      <c r="I64" s="407"/>
      <c r="J64" s="408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thickTop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</sheetData>
  <sheetProtection/>
  <mergeCells count="48">
    <mergeCell ref="F40:J41"/>
    <mergeCell ref="A40:E41"/>
    <mergeCell ref="F30:J30"/>
    <mergeCell ref="F31:J31"/>
    <mergeCell ref="F32:J32"/>
    <mergeCell ref="F33:J34"/>
    <mergeCell ref="F35:J37"/>
    <mergeCell ref="A33:E34"/>
    <mergeCell ref="A35:E37"/>
    <mergeCell ref="A55:E56"/>
    <mergeCell ref="A1:E2"/>
    <mergeCell ref="A3:E5"/>
    <mergeCell ref="F1:J2"/>
    <mergeCell ref="F3:J5"/>
    <mergeCell ref="F38:J39"/>
    <mergeCell ref="F43:J44"/>
    <mergeCell ref="F55:J56"/>
    <mergeCell ref="A38:E39"/>
    <mergeCell ref="A43:E44"/>
    <mergeCell ref="F62:J62"/>
    <mergeCell ref="F63:J63"/>
    <mergeCell ref="F64:J64"/>
    <mergeCell ref="A63:E63"/>
    <mergeCell ref="A64:E64"/>
    <mergeCell ref="A62:E62"/>
    <mergeCell ref="F57:J58"/>
    <mergeCell ref="F59:J60"/>
    <mergeCell ref="F61:J61"/>
    <mergeCell ref="A57:E58"/>
    <mergeCell ref="A59:E60"/>
    <mergeCell ref="A61:E61"/>
    <mergeCell ref="F25:J26"/>
    <mergeCell ref="F27:J28"/>
    <mergeCell ref="F29:J29"/>
    <mergeCell ref="A32:E32"/>
    <mergeCell ref="A30:E30"/>
    <mergeCell ref="A29:E29"/>
    <mergeCell ref="A27:E28"/>
    <mergeCell ref="F11:J12"/>
    <mergeCell ref="A31:E31"/>
    <mergeCell ref="A6:E7"/>
    <mergeCell ref="F6:J7"/>
    <mergeCell ref="A23:E24"/>
    <mergeCell ref="A11:E12"/>
    <mergeCell ref="A25:E26"/>
    <mergeCell ref="F23:J24"/>
    <mergeCell ref="A8:E9"/>
    <mergeCell ref="F8:J9"/>
  </mergeCells>
  <printOptions gridLines="1"/>
  <pageMargins left="0.2362204724409449" right="0" top="0.2362204724409449" bottom="0" header="0" footer="0"/>
  <pageSetup orientation="portrait" paperSize="9" scale="99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Z98"/>
  <sheetViews>
    <sheetView zoomScale="200" zoomScaleNormal="200" workbookViewId="0" topLeftCell="A1">
      <selection activeCell="A10" sqref="A10"/>
    </sheetView>
  </sheetViews>
  <sheetFormatPr defaultColWidth="9.140625" defaultRowHeight="12.75"/>
  <sheetData>
    <row r="1" spans="1:26" s="164" customFormat="1" ht="24.75">
      <c r="A1" s="424" t="str">
        <f>CONCATENATE(cronograma!$C$3," do")</f>
        <v>Festa Junina do</v>
      </c>
      <c r="B1" s="424"/>
      <c r="C1" s="424"/>
      <c r="D1" s="424"/>
      <c r="E1" s="424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s="164" customFormat="1" ht="24.75">
      <c r="A2" s="425" t="str">
        <f>cronograma!$J$1</f>
        <v>GE Guaianazes</v>
      </c>
      <c r="B2" s="425"/>
      <c r="C2" s="425"/>
      <c r="D2" s="425"/>
      <c r="E2" s="425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164" customFormat="1" ht="9.75" customHeight="1">
      <c r="A3" s="427"/>
      <c r="B3" s="427"/>
      <c r="C3" s="427"/>
      <c r="D3" s="427"/>
      <c r="E3" s="427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164" customFormat="1" ht="30.75" customHeight="1">
      <c r="A4" s="426" t="str">
        <f>cronograma!$C$11</f>
        <v>VAI TER: bingo, jogos, comidas típicas e muita animação !</v>
      </c>
      <c r="B4" s="426"/>
      <c r="C4" s="426"/>
      <c r="D4" s="426"/>
      <c r="E4" s="426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s="164" customFormat="1" ht="9" customHeight="1">
      <c r="A5" s="430" t="str">
        <f>(CONCATENATE("no ",cronograma!$E$4,", dia ",TEXT(cronograma!$C$4,"dd/mm/aaaa")," das ",cronograma!$C$5," às ",cronograma!$E$5," h"))</f>
        <v>no sábado, dia 03/07/2010 das 18 às 21 h</v>
      </c>
      <c r="B5" s="430"/>
      <c r="C5" s="430"/>
      <c r="D5" s="430"/>
      <c r="E5" s="430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s="164" customFormat="1" ht="12.75" customHeight="1">
      <c r="A6" s="430"/>
      <c r="B6" s="430"/>
      <c r="C6" s="430"/>
      <c r="D6" s="430"/>
      <c r="E6" s="430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s="164" customFormat="1" ht="12.75" customHeight="1">
      <c r="A7" s="428" t="str">
        <f>CONCATENATE("preço: ",TEXT(cronograma!$C$6,"R$ ##,00")," com direito a: 
",cronograma!$E$6,", ",cronograma!$E$7,", 
",cronograma!$E$9,", ",cronograma!$E$8,".")</f>
        <v>preço: R$ 6,00 com direito a: 
um espetinho, 200ml de refrigerante, 
um jogo, uma pipoca E um doce.</v>
      </c>
      <c r="B7" s="428"/>
      <c r="C7" s="428"/>
      <c r="D7" s="428"/>
      <c r="E7" s="428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s="164" customFormat="1" ht="12.75" customHeight="1">
      <c r="A8" s="428"/>
      <c r="B8" s="428"/>
      <c r="C8" s="428"/>
      <c r="D8" s="428"/>
      <c r="E8" s="428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s="164" customFormat="1" ht="12.75" customHeight="1">
      <c r="A9" s="428"/>
      <c r="B9" s="428"/>
      <c r="C9" s="428"/>
      <c r="D9" s="428"/>
      <c r="E9" s="428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s="164" customFormat="1" ht="11.25" customHeight="1">
      <c r="A10" s="429" t="str">
        <f>cronograma!$C$10</f>
        <v>ingresso pago até 26/junho custa R$5,00</v>
      </c>
      <c r="B10" s="429"/>
      <c r="C10" s="429"/>
      <c r="D10" s="429"/>
      <c r="E10" s="429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s="164" customFormat="1" ht="12.75" customHeight="1">
      <c r="A11" s="429"/>
      <c r="B11" s="429"/>
      <c r="C11" s="429"/>
      <c r="D11" s="429"/>
      <c r="E11" s="429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s="164" customFormat="1" ht="12.75" customHeight="1">
      <c r="A12" s="212"/>
      <c r="B12" s="212"/>
      <c r="C12" s="212"/>
      <c r="D12" s="212"/>
      <c r="E12" s="21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s="164" customFormat="1" ht="12.75" customHeight="1">
      <c r="A13" s="212"/>
      <c r="B13" s="212"/>
      <c r="C13" s="212"/>
      <c r="D13" s="212"/>
      <c r="E13" s="21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s="164" customFormat="1" ht="12.75" customHeight="1">
      <c r="A14" s="212"/>
      <c r="B14" s="212"/>
      <c r="C14" s="212"/>
      <c r="D14" s="212"/>
      <c r="E14" s="21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s="164" customFormat="1" ht="12.75" customHeight="1">
      <c r="A15" s="213"/>
      <c r="B15" s="213"/>
      <c r="C15" s="213"/>
      <c r="D15" s="213"/>
      <c r="E15" s="21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s="164" customFormat="1" ht="12.75" customHeight="1">
      <c r="A16" s="213"/>
      <c r="B16" s="213"/>
      <c r="C16" s="213"/>
      <c r="D16" s="213"/>
      <c r="E16" s="21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s="164" customFormat="1" ht="12.75" customHeight="1">
      <c r="A17" s="213"/>
      <c r="B17" s="213"/>
      <c r="C17" s="213"/>
      <c r="D17" s="213"/>
      <c r="E17" s="21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s="164" customFormat="1" ht="12.75" customHeight="1">
      <c r="A18" s="213"/>
      <c r="B18" s="213"/>
      <c r="C18" s="213"/>
      <c r="D18" s="213"/>
      <c r="E18" s="21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s="164" customFormat="1" ht="12.75" customHeight="1">
      <c r="A19" s="213"/>
      <c r="B19" s="213"/>
      <c r="C19" s="213"/>
      <c r="D19" s="213"/>
      <c r="E19" s="21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s="164" customFormat="1" ht="12.75" customHeight="1">
      <c r="A20" s="213"/>
      <c r="B20" s="213"/>
      <c r="C20" s="213"/>
      <c r="D20" s="213"/>
      <c r="E20" s="21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s="164" customFormat="1" ht="12.75" customHeight="1">
      <c r="A21" s="214"/>
      <c r="B21" s="214"/>
      <c r="C21" s="214"/>
      <c r="D21" s="214"/>
      <c r="E21" s="21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s="164" customFormat="1" ht="15" customHeight="1">
      <c r="A22" s="433" t="str">
        <f>CONCATENATE("local: ",cronograma!$C$2," 
",cronograma!$J$2)</f>
        <v>local: Av. Imp. Leopoldina, 730 
Nova Petrópolis - SBCampo</v>
      </c>
      <c r="B22" s="433"/>
      <c r="C22" s="433"/>
      <c r="D22" s="433"/>
      <c r="E22" s="43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s="164" customFormat="1" ht="14.25" customHeight="1">
      <c r="A23" s="433"/>
      <c r="B23" s="433"/>
      <c r="C23" s="433"/>
      <c r="D23" s="433"/>
      <c r="E23" s="43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s="164" customFormat="1" ht="12.75" customHeight="1">
      <c r="A24" s="432" t="s">
        <v>20</v>
      </c>
      <c r="B24" s="432"/>
      <c r="C24" s="432"/>
      <c r="D24" s="432"/>
      <c r="E24" s="43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s="164" customFormat="1" ht="10.5" customHeight="1">
      <c r="A25" s="432"/>
      <c r="B25" s="432"/>
      <c r="C25" s="432"/>
      <c r="D25" s="432"/>
      <c r="E25" s="432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s="164" customFormat="1" ht="19.5">
      <c r="A26" s="432" t="s">
        <v>21</v>
      </c>
      <c r="B26" s="432"/>
      <c r="C26" s="432"/>
      <c r="D26" s="432"/>
      <c r="E26" s="43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s="164" customFormat="1" ht="8.25" customHeight="1">
      <c r="A27" s="431"/>
      <c r="B27" s="431"/>
      <c r="C27" s="431"/>
      <c r="D27" s="431"/>
      <c r="E27" s="431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s="164" customFormat="1" ht="16.5" customHeight="1">
      <c r="A28" s="432" t="str">
        <f>cronograma!$C$1</f>
        <v>Grupo Escoteiro Guaianazes 68ºSP</v>
      </c>
      <c r="B28" s="432"/>
      <c r="C28" s="432"/>
      <c r="D28" s="432"/>
      <c r="E28" s="43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s="164" customFormat="1" ht="15.75" customHeight="1">
      <c r="A29" s="432" t="s">
        <v>182</v>
      </c>
      <c r="B29" s="432"/>
      <c r="C29" s="432"/>
      <c r="D29" s="432"/>
      <c r="E29" s="432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s="164" customFormat="1" ht="12.75">
      <c r="A30" s="431"/>
      <c r="B30" s="431"/>
      <c r="C30" s="431"/>
      <c r="D30" s="431"/>
      <c r="E30" s="431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s="164" customFormat="1" ht="12.7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s="164" customFormat="1" ht="12.7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s="164" customFormat="1" ht="12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s="164" customFormat="1" ht="12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s="164" customFormat="1" ht="12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s="164" customFormat="1" ht="12.7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s="164" customFormat="1" ht="12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s="164" customFormat="1" ht="12.7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s="164" customFormat="1" ht="12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s="164" customFormat="1" ht="12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s="164" customFormat="1" ht="12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s="164" customFormat="1" ht="12.7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s="164" customFormat="1" ht="12.7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s="164" customFormat="1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</sheetData>
  <sheetProtection/>
  <mergeCells count="14">
    <mergeCell ref="A30:E30"/>
    <mergeCell ref="A27:E27"/>
    <mergeCell ref="A26:E26"/>
    <mergeCell ref="A24:E25"/>
    <mergeCell ref="A28:E28"/>
    <mergeCell ref="A22:E23"/>
    <mergeCell ref="A29:E29"/>
    <mergeCell ref="A1:E1"/>
    <mergeCell ref="A2:E2"/>
    <mergeCell ref="A4:E4"/>
    <mergeCell ref="A3:E3"/>
    <mergeCell ref="A7:E9"/>
    <mergeCell ref="A10:E11"/>
    <mergeCell ref="A5:E6"/>
  </mergeCells>
  <printOptions gridLines="1"/>
  <pageMargins left="0.86" right="0" top="0.38" bottom="0" header="0" footer="0"/>
  <pageSetup orientation="portrait" paperSize="9" scale="1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Z196"/>
  <sheetViews>
    <sheetView zoomScalePageLayoutView="0" workbookViewId="0" topLeftCell="A10">
      <selection activeCell="K33" sqref="K33"/>
    </sheetView>
  </sheetViews>
  <sheetFormatPr defaultColWidth="9.140625" defaultRowHeight="12.75"/>
  <sheetData>
    <row r="1" spans="1:26" ht="13.5" customHeight="1" thickTop="1">
      <c r="A1" s="215" t="s">
        <v>65</v>
      </c>
      <c r="B1" s="419" t="str">
        <f>CONCATENATE(cronograma!$C$3," do")</f>
        <v>Festa Junina do</v>
      </c>
      <c r="C1" s="419"/>
      <c r="D1" s="419"/>
      <c r="E1" s="420"/>
      <c r="F1" s="215" t="s">
        <v>26</v>
      </c>
      <c r="G1" s="419" t="str">
        <f>$B$1</f>
        <v>Festa Junina do</v>
      </c>
      <c r="H1" s="419"/>
      <c r="I1" s="419"/>
      <c r="J1" s="420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.75" customHeight="1">
      <c r="A2" s="216"/>
      <c r="B2" s="422"/>
      <c r="C2" s="422"/>
      <c r="D2" s="422"/>
      <c r="E2" s="423"/>
      <c r="F2" s="216"/>
      <c r="G2" s="422"/>
      <c r="H2" s="422"/>
      <c r="I2" s="422"/>
      <c r="J2" s="42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.75" customHeight="1">
      <c r="A3" s="216"/>
      <c r="B3" s="422" t="str">
        <f>cronograma!$J$1</f>
        <v>GE Guaianazes</v>
      </c>
      <c r="C3" s="422"/>
      <c r="D3" s="422"/>
      <c r="E3" s="423"/>
      <c r="F3" s="216"/>
      <c r="G3" s="422" t="str">
        <f>$B$3</f>
        <v>GE Guaianazes</v>
      </c>
      <c r="H3" s="422"/>
      <c r="I3" s="422"/>
      <c r="J3" s="42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.75" customHeight="1">
      <c r="A4" s="216"/>
      <c r="B4" s="422"/>
      <c r="C4" s="422"/>
      <c r="D4" s="422"/>
      <c r="E4" s="423"/>
      <c r="F4" s="216"/>
      <c r="G4" s="422"/>
      <c r="H4" s="422"/>
      <c r="I4" s="422"/>
      <c r="J4" s="42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.75" customHeight="1">
      <c r="A5" s="216"/>
      <c r="B5" s="217"/>
      <c r="C5" s="217"/>
      <c r="D5" s="217"/>
      <c r="E5" s="218"/>
      <c r="F5" s="216"/>
      <c r="G5" s="217"/>
      <c r="H5" s="217"/>
      <c r="I5" s="217"/>
      <c r="J5" s="218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.75">
      <c r="A6" s="400" t="str">
        <f>(CONCATENATE("no ",cronograma!$E$4,", dia ",TEXT(cronograma!$C$4,"dd/mm/aaaa")," das ",cronograma!$C$5," às ",cronograma!$E$5," h"))</f>
        <v>no sábado, dia 03/07/2010 das 18 às 21 h</v>
      </c>
      <c r="B6" s="401"/>
      <c r="C6" s="401"/>
      <c r="D6" s="401"/>
      <c r="E6" s="402"/>
      <c r="F6" s="400" t="str">
        <f>$A$6</f>
        <v>no sábado, dia 03/07/2010 das 18 às 21 h</v>
      </c>
      <c r="G6" s="401"/>
      <c r="H6" s="401"/>
      <c r="I6" s="401"/>
      <c r="J6" s="40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.75">
      <c r="A7" s="400"/>
      <c r="B7" s="401"/>
      <c r="C7" s="401"/>
      <c r="D7" s="401"/>
      <c r="E7" s="402"/>
      <c r="F7" s="400"/>
      <c r="G7" s="401"/>
      <c r="H7" s="401"/>
      <c r="I7" s="401"/>
      <c r="J7" s="402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25" customHeight="1">
      <c r="A8" s="58"/>
      <c r="B8" s="59"/>
      <c r="C8" s="59"/>
      <c r="D8" s="59"/>
      <c r="E8" s="60"/>
      <c r="F8" s="58"/>
      <c r="G8" s="59"/>
      <c r="H8" s="59"/>
      <c r="I8" s="59"/>
      <c r="J8" s="60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25" customHeight="1">
      <c r="A9" s="415" t="str">
        <f>CONCATENATE("local: ",cronograma!$C$2,"               ",cronograma!$J$2)</f>
        <v>local: Av. Imp. Leopoldina, 730               Nova Petrópolis - SBCampo</v>
      </c>
      <c r="B9" s="416"/>
      <c r="C9" s="416"/>
      <c r="D9" s="416"/>
      <c r="E9" s="417"/>
      <c r="F9" s="415" t="str">
        <f>$A$9</f>
        <v>local: Av. Imp. Leopoldina, 730               Nova Petrópolis - SBCampo</v>
      </c>
      <c r="G9" s="416"/>
      <c r="H9" s="416"/>
      <c r="I9" s="416"/>
      <c r="J9" s="417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.75">
      <c r="A10" s="415"/>
      <c r="B10" s="416"/>
      <c r="C10" s="416"/>
      <c r="D10" s="416"/>
      <c r="E10" s="417"/>
      <c r="F10" s="415"/>
      <c r="G10" s="416"/>
      <c r="H10" s="416"/>
      <c r="I10" s="416"/>
      <c r="J10" s="417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>
      <c r="A11" s="449" t="s">
        <v>20</v>
      </c>
      <c r="B11" s="450"/>
      <c r="C11" s="450"/>
      <c r="D11" s="450"/>
      <c r="E11" s="451"/>
      <c r="F11" s="449" t="str">
        <f>$A$11</f>
        <v>Esperamos por você!!!</v>
      </c>
      <c r="G11" s="450"/>
      <c r="H11" s="450"/>
      <c r="I11" s="450"/>
      <c r="J11" s="451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.75">
      <c r="A12" s="449"/>
      <c r="B12" s="450"/>
      <c r="C12" s="450"/>
      <c r="D12" s="450"/>
      <c r="E12" s="451"/>
      <c r="F12" s="449"/>
      <c r="G12" s="450"/>
      <c r="H12" s="450"/>
      <c r="I12" s="450"/>
      <c r="J12" s="451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">
      <c r="A13" s="443" t="s">
        <v>21</v>
      </c>
      <c r="B13" s="444"/>
      <c r="C13" s="444"/>
      <c r="D13" s="444"/>
      <c r="E13" s="445"/>
      <c r="F13" s="443" t="str">
        <f>$A$13</f>
        <v>SEMPRE ALERTA!!!</v>
      </c>
      <c r="G13" s="444"/>
      <c r="H13" s="444"/>
      <c r="I13" s="444"/>
      <c r="J13" s="445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>
      <c r="A14" s="412"/>
      <c r="B14" s="413"/>
      <c r="C14" s="413"/>
      <c r="D14" s="413"/>
      <c r="E14" s="414"/>
      <c r="F14" s="412"/>
      <c r="G14" s="413"/>
      <c r="H14" s="413"/>
      <c r="I14" s="413"/>
      <c r="J14" s="41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25">
      <c r="A15" s="437" t="str">
        <f>cronograma!$C$1</f>
        <v>Grupo Escoteiro Guaianazes 68ºSP</v>
      </c>
      <c r="B15" s="438"/>
      <c r="C15" s="438"/>
      <c r="D15" s="438"/>
      <c r="E15" s="439"/>
      <c r="F15" s="437" t="str">
        <f>$A$15</f>
        <v>Grupo Escoteiro Guaianazes 68ºSP</v>
      </c>
      <c r="G15" s="438"/>
      <c r="H15" s="438"/>
      <c r="I15" s="438"/>
      <c r="J15" s="439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>
      <c r="A16" s="446"/>
      <c r="B16" s="447"/>
      <c r="C16" s="447"/>
      <c r="D16" s="447"/>
      <c r="E16" s="448"/>
      <c r="F16" s="446"/>
      <c r="G16" s="447"/>
      <c r="H16" s="447"/>
      <c r="I16" s="447"/>
      <c r="J16" s="448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25">
      <c r="A17" s="64"/>
      <c r="B17" s="65"/>
      <c r="C17" s="65"/>
      <c r="D17" s="65"/>
      <c r="E17" s="66"/>
      <c r="F17" s="64"/>
      <c r="G17" s="65"/>
      <c r="H17" s="65"/>
      <c r="I17" s="65"/>
      <c r="J17" s="6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25">
      <c r="A18" s="64"/>
      <c r="B18" s="65"/>
      <c r="C18" s="65"/>
      <c r="D18" s="65"/>
      <c r="E18" s="66"/>
      <c r="F18" s="64"/>
      <c r="G18" s="65"/>
      <c r="H18" s="65"/>
      <c r="I18" s="65"/>
      <c r="J18" s="6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25">
      <c r="A19" s="64"/>
      <c r="B19" s="65"/>
      <c r="C19" s="65"/>
      <c r="D19" s="65"/>
      <c r="E19" s="66"/>
      <c r="F19" s="64"/>
      <c r="G19" s="65"/>
      <c r="H19" s="65"/>
      <c r="I19" s="65"/>
      <c r="J19" s="6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25">
      <c r="A20" s="434" t="str">
        <f>CONCATENATE("No dia ",TEXT(cronograma!$B$38,"dd/mmmm")," cada jovem recebe 3 convites,")</f>
        <v>No dia 12/junho cada jovem recebe 3 convites,</v>
      </c>
      <c r="B20" s="435"/>
      <c r="C20" s="435"/>
      <c r="D20" s="435"/>
      <c r="E20" s="436"/>
      <c r="F20" s="434" t="str">
        <f>$A$20</f>
        <v>No dia 12/junho cada jovem recebe 3 convites,</v>
      </c>
      <c r="G20" s="435"/>
      <c r="H20" s="435"/>
      <c r="I20" s="435"/>
      <c r="J20" s="43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25">
      <c r="A21" s="434" t="str">
        <f>CONCATENATE("que podem ser acertados até ",TEXT(cronograma!$B$41,"dd/mmmm"),".")</f>
        <v>que podem ser acertados até 26/junho.</v>
      </c>
      <c r="B21" s="435"/>
      <c r="C21" s="435"/>
      <c r="D21" s="435"/>
      <c r="E21" s="436"/>
      <c r="F21" s="434" t="str">
        <f>$A$21</f>
        <v>que podem ser acertados até 26/junho.</v>
      </c>
      <c r="G21" s="435"/>
      <c r="H21" s="435"/>
      <c r="I21" s="435"/>
      <c r="J21" s="43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>
      <c r="A22" s="67"/>
      <c r="B22" s="68"/>
      <c r="C22" s="68"/>
      <c r="D22" s="68"/>
      <c r="E22" s="69"/>
      <c r="F22" s="67"/>
      <c r="G22" s="68"/>
      <c r="H22" s="68"/>
      <c r="I22" s="68"/>
      <c r="J22" s="69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25">
      <c r="A23" s="434" t="s">
        <v>23</v>
      </c>
      <c r="B23" s="435"/>
      <c r="C23" s="435"/>
      <c r="D23" s="435"/>
      <c r="E23" s="436"/>
      <c r="F23" s="434" t="str">
        <f>$A$23</f>
        <v>Solicitamos como colaboração da sua família </v>
      </c>
      <c r="G23" s="435"/>
      <c r="H23" s="435"/>
      <c r="I23" s="435"/>
      <c r="J23" s="436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25">
      <c r="A24" s="434" t="s">
        <v>175</v>
      </c>
      <c r="B24" s="435"/>
      <c r="C24" s="435"/>
      <c r="D24" s="435"/>
      <c r="E24" s="436"/>
      <c r="F24" s="434" t="str">
        <f>$A$24</f>
        <v>a venda de ingressos para os amigos, parentes,</v>
      </c>
      <c r="G24" s="435"/>
      <c r="H24" s="435"/>
      <c r="I24" s="435"/>
      <c r="J24" s="436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25" customHeight="1">
      <c r="A25" s="440" t="s">
        <v>176</v>
      </c>
      <c r="B25" s="441"/>
      <c r="C25" s="441"/>
      <c r="D25" s="441"/>
      <c r="E25" s="442"/>
      <c r="F25" s="434" t="str">
        <f>$A$25</f>
        <v>doando prendas, entregando-as dia do acerto,</v>
      </c>
      <c r="G25" s="435"/>
      <c r="H25" s="435"/>
      <c r="I25" s="435"/>
      <c r="J25" s="436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25">
      <c r="A26" s="440" t="s">
        <v>177</v>
      </c>
      <c r="B26" s="441"/>
      <c r="C26" s="441"/>
      <c r="D26" s="441"/>
      <c r="E26" s="442"/>
      <c r="F26" s="434" t="str">
        <f>$A$26</f>
        <v>E no dia da festa, doando um prato de salgados.</v>
      </c>
      <c r="G26" s="435"/>
      <c r="H26" s="435"/>
      <c r="I26" s="435"/>
      <c r="J26" s="436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25">
      <c r="A27" s="70"/>
      <c r="B27" s="71"/>
      <c r="C27" s="71"/>
      <c r="D27" s="71"/>
      <c r="E27" s="72"/>
      <c r="F27" s="70"/>
      <c r="G27" s="71"/>
      <c r="H27" s="71"/>
      <c r="I27" s="71"/>
      <c r="J27" s="72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25">
      <c r="A28" s="434"/>
      <c r="B28" s="435"/>
      <c r="C28" s="435"/>
      <c r="D28" s="435"/>
      <c r="E28" s="436"/>
      <c r="F28" s="434"/>
      <c r="G28" s="435"/>
      <c r="H28" s="435"/>
      <c r="I28" s="435"/>
      <c r="J28" s="436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25">
      <c r="A29" s="434" t="s">
        <v>25</v>
      </c>
      <c r="B29" s="435"/>
      <c r="C29" s="435"/>
      <c r="D29" s="435"/>
      <c r="E29" s="436"/>
      <c r="F29" s="434" t="str">
        <f>$A$29</f>
        <v>Obrigado ! ! !</v>
      </c>
      <c r="G29" s="435"/>
      <c r="H29" s="435"/>
      <c r="I29" s="435"/>
      <c r="J29" s="43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25">
      <c r="A30" s="434"/>
      <c r="B30" s="435"/>
      <c r="C30" s="435"/>
      <c r="D30" s="435"/>
      <c r="E30" s="436"/>
      <c r="F30" s="434"/>
      <c r="G30" s="435"/>
      <c r="H30" s="435"/>
      <c r="I30" s="435"/>
      <c r="J30" s="436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25">
      <c r="A31" s="437" t="s">
        <v>24</v>
      </c>
      <c r="B31" s="438"/>
      <c r="C31" s="438"/>
      <c r="D31" s="438"/>
      <c r="E31" s="439"/>
      <c r="F31" s="437" t="str">
        <f>$A$31</f>
        <v>A Diretoria do Grupo</v>
      </c>
      <c r="G31" s="438"/>
      <c r="H31" s="438"/>
      <c r="I31" s="438"/>
      <c r="J31" s="439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thickBot="1">
      <c r="A32" s="406"/>
      <c r="B32" s="407"/>
      <c r="C32" s="407"/>
      <c r="D32" s="407"/>
      <c r="E32" s="408"/>
      <c r="F32" s="406"/>
      <c r="G32" s="407"/>
      <c r="H32" s="407"/>
      <c r="I32" s="407"/>
      <c r="J32" s="408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 thickTop="1">
      <c r="A33" s="215" t="s">
        <v>65</v>
      </c>
      <c r="B33" s="419" t="str">
        <f>$B$1</f>
        <v>Festa Junina do</v>
      </c>
      <c r="C33" s="419"/>
      <c r="D33" s="419"/>
      <c r="E33" s="420"/>
      <c r="F33" s="215" t="s">
        <v>26</v>
      </c>
      <c r="G33" s="419" t="str">
        <f>$B$1</f>
        <v>Festa Junina do</v>
      </c>
      <c r="H33" s="419"/>
      <c r="I33" s="419"/>
      <c r="J33" s="420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customHeight="1">
      <c r="A34" s="216"/>
      <c r="B34" s="422"/>
      <c r="C34" s="422"/>
      <c r="D34" s="422"/>
      <c r="E34" s="423"/>
      <c r="F34" s="216"/>
      <c r="G34" s="422"/>
      <c r="H34" s="422"/>
      <c r="I34" s="422"/>
      <c r="J34" s="42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customHeight="1">
      <c r="A35" s="216"/>
      <c r="B35" s="422" t="str">
        <f>$B$3</f>
        <v>GE Guaianazes</v>
      </c>
      <c r="C35" s="422"/>
      <c r="D35" s="422"/>
      <c r="E35" s="423"/>
      <c r="F35" s="216"/>
      <c r="G35" s="422" t="str">
        <f>$B$3</f>
        <v>GE Guaianazes</v>
      </c>
      <c r="H35" s="422"/>
      <c r="I35" s="422"/>
      <c r="J35" s="42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customHeight="1">
      <c r="A36" s="216"/>
      <c r="B36" s="422"/>
      <c r="C36" s="422"/>
      <c r="D36" s="422"/>
      <c r="E36" s="423"/>
      <c r="F36" s="216"/>
      <c r="G36" s="422"/>
      <c r="H36" s="422"/>
      <c r="I36" s="422"/>
      <c r="J36" s="423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customHeight="1">
      <c r="A37" s="216"/>
      <c r="B37" s="217"/>
      <c r="C37" s="217"/>
      <c r="D37" s="217"/>
      <c r="E37" s="218"/>
      <c r="F37" s="216"/>
      <c r="G37" s="217"/>
      <c r="H37" s="217"/>
      <c r="I37" s="217"/>
      <c r="J37" s="218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>
      <c r="A38" s="400" t="str">
        <f>$A$6</f>
        <v>no sábado, dia 03/07/2010 das 18 às 21 h</v>
      </c>
      <c r="B38" s="401"/>
      <c r="C38" s="401"/>
      <c r="D38" s="401"/>
      <c r="E38" s="402"/>
      <c r="F38" s="400" t="str">
        <f>$A$6</f>
        <v>no sábado, dia 03/07/2010 das 18 às 21 h</v>
      </c>
      <c r="G38" s="401"/>
      <c r="H38" s="401"/>
      <c r="I38" s="401"/>
      <c r="J38" s="40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>
      <c r="A39" s="400"/>
      <c r="B39" s="401"/>
      <c r="C39" s="401"/>
      <c r="D39" s="401"/>
      <c r="E39" s="402"/>
      <c r="F39" s="400"/>
      <c r="G39" s="401"/>
      <c r="H39" s="401"/>
      <c r="I39" s="401"/>
      <c r="J39" s="40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" customHeight="1">
      <c r="A40" s="58"/>
      <c r="B40" s="59"/>
      <c r="C40" s="59"/>
      <c r="D40" s="59"/>
      <c r="E40" s="60"/>
      <c r="F40" s="58"/>
      <c r="G40" s="59"/>
      <c r="H40" s="59"/>
      <c r="I40" s="59"/>
      <c r="J40" s="60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" customHeight="1">
      <c r="A41" s="415" t="str">
        <f>$A$9</f>
        <v>local: Av. Imp. Leopoldina, 730               Nova Petrópolis - SBCampo</v>
      </c>
      <c r="B41" s="416"/>
      <c r="C41" s="416"/>
      <c r="D41" s="416"/>
      <c r="E41" s="417"/>
      <c r="F41" s="415" t="str">
        <f>$A$9</f>
        <v>local: Av. Imp. Leopoldina, 730               Nova Petrópolis - SBCampo</v>
      </c>
      <c r="G41" s="416"/>
      <c r="H41" s="416"/>
      <c r="I41" s="416"/>
      <c r="J41" s="417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>
      <c r="A42" s="415"/>
      <c r="B42" s="416"/>
      <c r="C42" s="416"/>
      <c r="D42" s="416"/>
      <c r="E42" s="417"/>
      <c r="F42" s="415"/>
      <c r="G42" s="416"/>
      <c r="H42" s="416"/>
      <c r="I42" s="416"/>
      <c r="J42" s="417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>
      <c r="A43" s="449" t="str">
        <f>$A$11</f>
        <v>Esperamos por você!!!</v>
      </c>
      <c r="B43" s="450"/>
      <c r="C43" s="450"/>
      <c r="D43" s="450"/>
      <c r="E43" s="451"/>
      <c r="F43" s="449" t="str">
        <f>$A$11</f>
        <v>Esperamos por você!!!</v>
      </c>
      <c r="G43" s="450"/>
      <c r="H43" s="450"/>
      <c r="I43" s="450"/>
      <c r="J43" s="451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customHeight="1">
      <c r="A44" s="449"/>
      <c r="B44" s="450"/>
      <c r="C44" s="450"/>
      <c r="D44" s="450"/>
      <c r="E44" s="451"/>
      <c r="F44" s="449"/>
      <c r="G44" s="450"/>
      <c r="H44" s="450"/>
      <c r="I44" s="450"/>
      <c r="J44" s="451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">
      <c r="A45" s="443" t="str">
        <f>$A$13</f>
        <v>SEMPRE ALERTA!!!</v>
      </c>
      <c r="B45" s="444"/>
      <c r="C45" s="444"/>
      <c r="D45" s="444"/>
      <c r="E45" s="445"/>
      <c r="F45" s="443" t="str">
        <f>$A$13</f>
        <v>SEMPRE ALERTA!!!</v>
      </c>
      <c r="G45" s="444"/>
      <c r="H45" s="444"/>
      <c r="I45" s="444"/>
      <c r="J45" s="445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>
      <c r="A46" s="412"/>
      <c r="B46" s="413"/>
      <c r="C46" s="413"/>
      <c r="D46" s="413"/>
      <c r="E46" s="414"/>
      <c r="F46" s="412"/>
      <c r="G46" s="413"/>
      <c r="H46" s="413"/>
      <c r="I46" s="413"/>
      <c r="J46" s="41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25">
      <c r="A47" s="437" t="str">
        <f>$A$15</f>
        <v>Grupo Escoteiro Guaianazes 68ºSP</v>
      </c>
      <c r="B47" s="438"/>
      <c r="C47" s="438"/>
      <c r="D47" s="438"/>
      <c r="E47" s="439"/>
      <c r="F47" s="437" t="str">
        <f>$A$15</f>
        <v>Grupo Escoteiro Guaianazes 68ºSP</v>
      </c>
      <c r="G47" s="438"/>
      <c r="H47" s="438"/>
      <c r="I47" s="438"/>
      <c r="J47" s="439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>
      <c r="A48" s="446"/>
      <c r="B48" s="447"/>
      <c r="C48" s="447"/>
      <c r="D48" s="447"/>
      <c r="E48" s="448"/>
      <c r="F48" s="446"/>
      <c r="G48" s="447"/>
      <c r="H48" s="447"/>
      <c r="I48" s="447"/>
      <c r="J48" s="448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25">
      <c r="A49" s="64"/>
      <c r="B49" s="65"/>
      <c r="C49" s="65"/>
      <c r="D49" s="65"/>
      <c r="E49" s="66"/>
      <c r="F49" s="64"/>
      <c r="G49" s="65"/>
      <c r="H49" s="65"/>
      <c r="I49" s="65"/>
      <c r="J49" s="6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25">
      <c r="A50" s="64"/>
      <c r="B50" s="65"/>
      <c r="C50" s="65"/>
      <c r="D50" s="65"/>
      <c r="E50" s="66"/>
      <c r="F50" s="64"/>
      <c r="G50" s="65"/>
      <c r="H50" s="65"/>
      <c r="I50" s="65"/>
      <c r="J50" s="6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25">
      <c r="A51" s="64"/>
      <c r="B51" s="65"/>
      <c r="C51" s="65"/>
      <c r="D51" s="65"/>
      <c r="E51" s="66"/>
      <c r="F51" s="64"/>
      <c r="G51" s="65"/>
      <c r="H51" s="65"/>
      <c r="I51" s="65"/>
      <c r="J51" s="6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25" customHeight="1">
      <c r="A52" s="434" t="str">
        <f>$A$20</f>
        <v>No dia 12/junho cada jovem recebe 3 convites,</v>
      </c>
      <c r="B52" s="435"/>
      <c r="C52" s="435"/>
      <c r="D52" s="435"/>
      <c r="E52" s="436"/>
      <c r="F52" s="434" t="str">
        <f>$A$20</f>
        <v>No dia 12/junho cada jovem recebe 3 convites,</v>
      </c>
      <c r="G52" s="435"/>
      <c r="H52" s="435"/>
      <c r="I52" s="435"/>
      <c r="J52" s="43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25" customHeight="1">
      <c r="A53" s="434" t="str">
        <f>$A$21</f>
        <v>que podem ser acertados até 26/junho.</v>
      </c>
      <c r="B53" s="435"/>
      <c r="C53" s="435"/>
      <c r="D53" s="435"/>
      <c r="E53" s="436"/>
      <c r="F53" s="434" t="str">
        <f>$A$21</f>
        <v>que podem ser acertados até 26/junho.</v>
      </c>
      <c r="G53" s="435"/>
      <c r="H53" s="435"/>
      <c r="I53" s="435"/>
      <c r="J53" s="43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>
      <c r="A54" s="67"/>
      <c r="B54" s="68"/>
      <c r="C54" s="68"/>
      <c r="D54" s="68"/>
      <c r="E54" s="69"/>
      <c r="F54" s="67"/>
      <c r="G54" s="68"/>
      <c r="H54" s="68"/>
      <c r="I54" s="68"/>
      <c r="J54" s="69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25" customHeight="1">
      <c r="A55" s="434" t="str">
        <f>$A$23</f>
        <v>Solicitamos como colaboração da sua família </v>
      </c>
      <c r="B55" s="435"/>
      <c r="C55" s="435"/>
      <c r="D55" s="435"/>
      <c r="E55" s="436"/>
      <c r="F55" s="434" t="str">
        <f>$A$23</f>
        <v>Solicitamos como colaboração da sua família </v>
      </c>
      <c r="G55" s="435"/>
      <c r="H55" s="435"/>
      <c r="I55" s="435"/>
      <c r="J55" s="43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25">
      <c r="A56" s="434" t="str">
        <f>$A$24</f>
        <v>a venda de ingressos para os amigos, parentes,</v>
      </c>
      <c r="B56" s="435"/>
      <c r="C56" s="435"/>
      <c r="D56" s="435"/>
      <c r="E56" s="436"/>
      <c r="F56" s="434" t="str">
        <f>$A$24</f>
        <v>a venda de ingressos para os amigos, parentes,</v>
      </c>
      <c r="G56" s="435"/>
      <c r="H56" s="435"/>
      <c r="I56" s="435"/>
      <c r="J56" s="43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25" customHeight="1">
      <c r="A57" s="440" t="s">
        <v>178</v>
      </c>
      <c r="B57" s="441"/>
      <c r="C57" s="441"/>
      <c r="D57" s="441"/>
      <c r="E57" s="442"/>
      <c r="F57" s="440" t="s">
        <v>179</v>
      </c>
      <c r="G57" s="441"/>
      <c r="H57" s="441"/>
      <c r="I57" s="441"/>
      <c r="J57" s="442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25" customHeight="1">
      <c r="A58" s="440" t="s">
        <v>180</v>
      </c>
      <c r="B58" s="441"/>
      <c r="C58" s="441"/>
      <c r="D58" s="441"/>
      <c r="E58" s="442"/>
      <c r="F58" s="440" t="s">
        <v>180</v>
      </c>
      <c r="G58" s="441"/>
      <c r="H58" s="441"/>
      <c r="I58" s="441"/>
      <c r="J58" s="442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25" customHeight="1">
      <c r="A59" s="70"/>
      <c r="B59" s="71"/>
      <c r="C59" s="71"/>
      <c r="D59" s="71"/>
      <c r="E59" s="72"/>
      <c r="F59" s="70"/>
      <c r="G59" s="71"/>
      <c r="H59" s="71"/>
      <c r="I59" s="71"/>
      <c r="J59" s="72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25">
      <c r="A60" s="434"/>
      <c r="B60" s="435"/>
      <c r="C60" s="435"/>
      <c r="D60" s="435"/>
      <c r="E60" s="436"/>
      <c r="F60" s="434"/>
      <c r="G60" s="435"/>
      <c r="H60" s="435"/>
      <c r="I60" s="435"/>
      <c r="J60" s="436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25" customHeight="1">
      <c r="A61" s="434" t="str">
        <f>$A$29</f>
        <v>Obrigado ! ! !</v>
      </c>
      <c r="B61" s="435"/>
      <c r="C61" s="435"/>
      <c r="D61" s="435"/>
      <c r="E61" s="436"/>
      <c r="F61" s="434" t="str">
        <f>$A$29</f>
        <v>Obrigado ! ! !</v>
      </c>
      <c r="G61" s="435"/>
      <c r="H61" s="435"/>
      <c r="I61" s="435"/>
      <c r="J61" s="436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25">
      <c r="A62" s="434"/>
      <c r="B62" s="435"/>
      <c r="C62" s="435"/>
      <c r="D62" s="435"/>
      <c r="E62" s="436"/>
      <c r="F62" s="434"/>
      <c r="G62" s="435"/>
      <c r="H62" s="435"/>
      <c r="I62" s="435"/>
      <c r="J62" s="436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25">
      <c r="A63" s="437" t="str">
        <f>$A$31</f>
        <v>A Diretoria do Grupo</v>
      </c>
      <c r="B63" s="438"/>
      <c r="C63" s="438"/>
      <c r="D63" s="438"/>
      <c r="E63" s="439"/>
      <c r="F63" s="437" t="str">
        <f>$A$31</f>
        <v>A Diretoria do Grupo</v>
      </c>
      <c r="G63" s="438"/>
      <c r="H63" s="438"/>
      <c r="I63" s="438"/>
      <c r="J63" s="439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thickBot="1">
      <c r="A64" s="406"/>
      <c r="B64" s="407"/>
      <c r="C64" s="407"/>
      <c r="D64" s="407"/>
      <c r="E64" s="408"/>
      <c r="F64" s="406"/>
      <c r="G64" s="407"/>
      <c r="H64" s="407"/>
      <c r="I64" s="407"/>
      <c r="J64" s="408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thickTop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thickBo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 thickTop="1">
      <c r="A67" s="97" t="s">
        <v>26</v>
      </c>
      <c r="B67" s="452" t="str">
        <f>$B$1</f>
        <v>Festa Junina do</v>
      </c>
      <c r="C67" s="452"/>
      <c r="D67" s="452"/>
      <c r="E67" s="453"/>
      <c r="F67" s="97" t="s">
        <v>26</v>
      </c>
      <c r="G67" s="452" t="str">
        <f>$B$1</f>
        <v>Festa Junina do</v>
      </c>
      <c r="H67" s="452"/>
      <c r="I67" s="452"/>
      <c r="J67" s="453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>
      <c r="A68" s="98"/>
      <c r="B68" s="454"/>
      <c r="C68" s="454"/>
      <c r="D68" s="454"/>
      <c r="E68" s="455"/>
      <c r="F68" s="98"/>
      <c r="G68" s="454"/>
      <c r="H68" s="454"/>
      <c r="I68" s="454"/>
      <c r="J68" s="455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>
      <c r="A69" s="98"/>
      <c r="B69" s="454" t="str">
        <f>$B$3</f>
        <v>GE Guaianazes</v>
      </c>
      <c r="C69" s="454"/>
      <c r="D69" s="454"/>
      <c r="E69" s="455"/>
      <c r="F69" s="98"/>
      <c r="G69" s="454" t="str">
        <f>$B$3</f>
        <v>GE Guaianazes</v>
      </c>
      <c r="H69" s="454"/>
      <c r="I69" s="454"/>
      <c r="J69" s="455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>
      <c r="A70" s="98"/>
      <c r="B70" s="454"/>
      <c r="C70" s="454"/>
      <c r="D70" s="454"/>
      <c r="E70" s="455"/>
      <c r="F70" s="98"/>
      <c r="G70" s="454"/>
      <c r="H70" s="454"/>
      <c r="I70" s="454"/>
      <c r="J70" s="455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>
      <c r="A71" s="98"/>
      <c r="B71" s="99"/>
      <c r="C71" s="99"/>
      <c r="D71" s="99"/>
      <c r="E71" s="100"/>
      <c r="F71" s="98"/>
      <c r="G71" s="99"/>
      <c r="H71" s="99"/>
      <c r="I71" s="99"/>
      <c r="J71" s="100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>
      <c r="A72" s="400" t="str">
        <f>$A$6</f>
        <v>no sábado, dia 03/07/2010 das 18 às 21 h</v>
      </c>
      <c r="B72" s="401"/>
      <c r="C72" s="401"/>
      <c r="D72" s="401"/>
      <c r="E72" s="402"/>
      <c r="F72" s="400" t="str">
        <f>$A$6</f>
        <v>no sábado, dia 03/07/2010 das 18 às 21 h</v>
      </c>
      <c r="G72" s="401"/>
      <c r="H72" s="401"/>
      <c r="I72" s="401"/>
      <c r="J72" s="402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>
      <c r="A73" s="400"/>
      <c r="B73" s="401"/>
      <c r="C73" s="401"/>
      <c r="D73" s="401"/>
      <c r="E73" s="402"/>
      <c r="F73" s="400"/>
      <c r="G73" s="401"/>
      <c r="H73" s="401"/>
      <c r="I73" s="401"/>
      <c r="J73" s="402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8" customHeight="1">
      <c r="A74" s="58"/>
      <c r="B74" s="59"/>
      <c r="C74" s="59"/>
      <c r="D74" s="59"/>
      <c r="E74" s="60"/>
      <c r="F74" s="58"/>
      <c r="G74" s="59"/>
      <c r="H74" s="59"/>
      <c r="I74" s="59"/>
      <c r="J74" s="60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8" customHeight="1">
      <c r="A75" s="415" t="str">
        <f>$A$9</f>
        <v>local: Av. Imp. Leopoldina, 730               Nova Petrópolis - SBCampo</v>
      </c>
      <c r="B75" s="416"/>
      <c r="C75" s="416"/>
      <c r="D75" s="416"/>
      <c r="E75" s="417"/>
      <c r="F75" s="415" t="str">
        <f>$A$9</f>
        <v>local: Av. Imp. Leopoldina, 730               Nova Petrópolis - SBCampo</v>
      </c>
      <c r="G75" s="416"/>
      <c r="H75" s="416"/>
      <c r="I75" s="416"/>
      <c r="J75" s="417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>
      <c r="A76" s="415"/>
      <c r="B76" s="416"/>
      <c r="C76" s="416"/>
      <c r="D76" s="416"/>
      <c r="E76" s="417"/>
      <c r="F76" s="415"/>
      <c r="G76" s="416"/>
      <c r="H76" s="416"/>
      <c r="I76" s="416"/>
      <c r="J76" s="417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>
      <c r="A77" s="449" t="str">
        <f>$A$11</f>
        <v>Esperamos por você!!!</v>
      </c>
      <c r="B77" s="450"/>
      <c r="C77" s="450"/>
      <c r="D77" s="450"/>
      <c r="E77" s="451"/>
      <c r="F77" s="449" t="str">
        <f>$A$11</f>
        <v>Esperamos por você!!!</v>
      </c>
      <c r="G77" s="450"/>
      <c r="H77" s="450"/>
      <c r="I77" s="450"/>
      <c r="J77" s="451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>
      <c r="A78" s="449"/>
      <c r="B78" s="450"/>
      <c r="C78" s="450"/>
      <c r="D78" s="450"/>
      <c r="E78" s="451"/>
      <c r="F78" s="449"/>
      <c r="G78" s="450"/>
      <c r="H78" s="450"/>
      <c r="I78" s="450"/>
      <c r="J78" s="451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">
      <c r="A79" s="443" t="str">
        <f>$A$13</f>
        <v>SEMPRE ALERTA!!!</v>
      </c>
      <c r="B79" s="444"/>
      <c r="C79" s="444"/>
      <c r="D79" s="444"/>
      <c r="E79" s="445"/>
      <c r="F79" s="443" t="str">
        <f>$A$13</f>
        <v>SEMPRE ALERTA!!!</v>
      </c>
      <c r="G79" s="444"/>
      <c r="H79" s="444"/>
      <c r="I79" s="444"/>
      <c r="J79" s="445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>
      <c r="A80" s="412"/>
      <c r="B80" s="413"/>
      <c r="C80" s="413"/>
      <c r="D80" s="413"/>
      <c r="E80" s="414"/>
      <c r="F80" s="412"/>
      <c r="G80" s="413"/>
      <c r="H80" s="413"/>
      <c r="I80" s="413"/>
      <c r="J80" s="41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4.25">
      <c r="A81" s="437" t="str">
        <f>$A$15</f>
        <v>Grupo Escoteiro Guaianazes 68ºSP</v>
      </c>
      <c r="B81" s="438"/>
      <c r="C81" s="438"/>
      <c r="D81" s="438"/>
      <c r="E81" s="439"/>
      <c r="F81" s="437" t="str">
        <f>$A$15</f>
        <v>Grupo Escoteiro Guaianazes 68ºSP</v>
      </c>
      <c r="G81" s="438"/>
      <c r="H81" s="438"/>
      <c r="I81" s="438"/>
      <c r="J81" s="439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>
      <c r="A82" s="446"/>
      <c r="B82" s="447"/>
      <c r="C82" s="447"/>
      <c r="D82" s="447"/>
      <c r="E82" s="448"/>
      <c r="F82" s="446"/>
      <c r="G82" s="447"/>
      <c r="H82" s="447"/>
      <c r="I82" s="447"/>
      <c r="J82" s="448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4.25">
      <c r="A83" s="64"/>
      <c r="B83" s="65"/>
      <c r="C83" s="65"/>
      <c r="D83" s="65"/>
      <c r="E83" s="66"/>
      <c r="F83" s="64"/>
      <c r="G83" s="65"/>
      <c r="H83" s="65"/>
      <c r="I83" s="65"/>
      <c r="J83" s="66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4.25">
      <c r="A84" s="64"/>
      <c r="B84" s="65"/>
      <c r="C84" s="65"/>
      <c r="D84" s="65"/>
      <c r="E84" s="66"/>
      <c r="F84" s="64"/>
      <c r="G84" s="65"/>
      <c r="H84" s="65"/>
      <c r="I84" s="65"/>
      <c r="J84" s="66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4.25">
      <c r="A85" s="64"/>
      <c r="B85" s="65"/>
      <c r="C85" s="65"/>
      <c r="D85" s="65"/>
      <c r="E85" s="66"/>
      <c r="F85" s="64"/>
      <c r="G85" s="65"/>
      <c r="H85" s="65"/>
      <c r="I85" s="65"/>
      <c r="J85" s="66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4.25" customHeight="1">
      <c r="A86" s="434" t="str">
        <f>$A$20</f>
        <v>No dia 12/junho cada jovem recebe 3 convites,</v>
      </c>
      <c r="B86" s="435"/>
      <c r="C86" s="435"/>
      <c r="D86" s="435"/>
      <c r="E86" s="436"/>
      <c r="F86" s="434" t="str">
        <f>$A$20</f>
        <v>No dia 12/junho cada jovem recebe 3 convites,</v>
      </c>
      <c r="G86" s="435"/>
      <c r="H86" s="435"/>
      <c r="I86" s="435"/>
      <c r="J86" s="436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4.25" customHeight="1">
      <c r="A87" s="434" t="str">
        <f>$A$21</f>
        <v>que podem ser acertados até 26/junho.</v>
      </c>
      <c r="B87" s="435"/>
      <c r="C87" s="435"/>
      <c r="D87" s="435"/>
      <c r="E87" s="436"/>
      <c r="F87" s="434" t="str">
        <f>$A$21</f>
        <v>que podem ser acertados até 26/junho.</v>
      </c>
      <c r="G87" s="435"/>
      <c r="H87" s="435"/>
      <c r="I87" s="435"/>
      <c r="J87" s="436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>
      <c r="A88" s="67"/>
      <c r="B88" s="68"/>
      <c r="C88" s="68"/>
      <c r="D88" s="68"/>
      <c r="E88" s="69"/>
      <c r="F88" s="67"/>
      <c r="G88" s="68"/>
      <c r="H88" s="68"/>
      <c r="I88" s="68"/>
      <c r="J88" s="69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4.25" customHeight="1">
      <c r="A89" s="434" t="str">
        <f>$A$23</f>
        <v>Solicitamos como colaboração da sua família </v>
      </c>
      <c r="B89" s="435"/>
      <c r="C89" s="435"/>
      <c r="D89" s="435"/>
      <c r="E89" s="436"/>
      <c r="F89" s="434" t="str">
        <f>$A$23</f>
        <v>Solicitamos como colaboração da sua família </v>
      </c>
      <c r="G89" s="435"/>
      <c r="H89" s="435"/>
      <c r="I89" s="435"/>
      <c r="J89" s="436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4.25">
      <c r="A90" s="434" t="str">
        <f>$A$24</f>
        <v>a venda de ingressos para os amigos, parentes,</v>
      </c>
      <c r="B90" s="435"/>
      <c r="C90" s="435"/>
      <c r="D90" s="435"/>
      <c r="E90" s="436"/>
      <c r="F90" s="434" t="str">
        <f>$A$24</f>
        <v>a venda de ingressos para os amigos, parentes,</v>
      </c>
      <c r="G90" s="435"/>
      <c r="H90" s="435"/>
      <c r="I90" s="435"/>
      <c r="J90" s="436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4.25" customHeight="1">
      <c r="A91" s="440" t="s">
        <v>181</v>
      </c>
      <c r="B91" s="441"/>
      <c r="C91" s="441"/>
      <c r="D91" s="441"/>
      <c r="E91" s="442"/>
      <c r="F91" s="434" t="str">
        <f>A91</f>
        <v>doando prendas e 4 L de refrigerante,</v>
      </c>
      <c r="G91" s="435"/>
      <c r="H91" s="435"/>
      <c r="I91" s="435"/>
      <c r="J91" s="436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4.25" customHeight="1">
      <c r="A92" s="440" t="s">
        <v>180</v>
      </c>
      <c r="B92" s="441"/>
      <c r="C92" s="441"/>
      <c r="D92" s="441"/>
      <c r="E92" s="442"/>
      <c r="F92" s="434" t="str">
        <f>A92</f>
        <v> entregando-as dia do acerto.</v>
      </c>
      <c r="G92" s="435"/>
      <c r="H92" s="435"/>
      <c r="I92" s="435"/>
      <c r="J92" s="436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4.25">
      <c r="A93" s="70"/>
      <c r="B93" s="71"/>
      <c r="C93" s="71"/>
      <c r="D93" s="71"/>
      <c r="E93" s="72"/>
      <c r="F93" s="70"/>
      <c r="G93" s="71"/>
      <c r="H93" s="71"/>
      <c r="I93" s="71"/>
      <c r="J93" s="72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4.25">
      <c r="A94" s="434"/>
      <c r="B94" s="435"/>
      <c r="C94" s="435"/>
      <c r="D94" s="435"/>
      <c r="E94" s="436"/>
      <c r="F94" s="434"/>
      <c r="G94" s="435"/>
      <c r="H94" s="435"/>
      <c r="I94" s="435"/>
      <c r="J94" s="436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4.25" customHeight="1">
      <c r="A95" s="434" t="str">
        <f>$A$29</f>
        <v>Obrigado ! ! !</v>
      </c>
      <c r="B95" s="435"/>
      <c r="C95" s="435"/>
      <c r="D95" s="435"/>
      <c r="E95" s="436"/>
      <c r="F95" s="434" t="s">
        <v>25</v>
      </c>
      <c r="G95" s="435"/>
      <c r="H95" s="435"/>
      <c r="I95" s="435"/>
      <c r="J95" s="436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4.25">
      <c r="A96" s="434"/>
      <c r="B96" s="435"/>
      <c r="C96" s="435"/>
      <c r="D96" s="435"/>
      <c r="E96" s="436"/>
      <c r="F96" s="434"/>
      <c r="G96" s="435"/>
      <c r="H96" s="435"/>
      <c r="I96" s="435"/>
      <c r="J96" s="436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4.25">
      <c r="A97" s="437" t="str">
        <f>$A$31</f>
        <v>A Diretoria do Grupo</v>
      </c>
      <c r="B97" s="438"/>
      <c r="C97" s="438"/>
      <c r="D97" s="438"/>
      <c r="E97" s="439"/>
      <c r="F97" s="437" t="s">
        <v>24</v>
      </c>
      <c r="G97" s="438"/>
      <c r="H97" s="438"/>
      <c r="I97" s="438"/>
      <c r="J97" s="439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thickBot="1">
      <c r="A98" s="406"/>
      <c r="B98" s="407"/>
      <c r="C98" s="407"/>
      <c r="D98" s="407"/>
      <c r="E98" s="408"/>
      <c r="F98" s="406"/>
      <c r="G98" s="407"/>
      <c r="H98" s="407"/>
      <c r="I98" s="407"/>
      <c r="J98" s="408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 thickTop="1">
      <c r="A99" s="97" t="s">
        <v>26</v>
      </c>
      <c r="B99" s="452" t="str">
        <f>$B$1</f>
        <v>Festa Junina do</v>
      </c>
      <c r="C99" s="452"/>
      <c r="D99" s="452"/>
      <c r="E99" s="453"/>
      <c r="F99" s="97" t="s">
        <v>26</v>
      </c>
      <c r="G99" s="452" t="str">
        <f>$B$1</f>
        <v>Festa Junina do</v>
      </c>
      <c r="H99" s="452"/>
      <c r="I99" s="452"/>
      <c r="J99" s="453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>
      <c r="A100" s="98"/>
      <c r="B100" s="454"/>
      <c r="C100" s="454"/>
      <c r="D100" s="454"/>
      <c r="E100" s="455"/>
      <c r="F100" s="98"/>
      <c r="G100" s="454"/>
      <c r="H100" s="454"/>
      <c r="I100" s="454"/>
      <c r="J100" s="455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>
      <c r="A101" s="98"/>
      <c r="B101" s="454" t="str">
        <f>$B$3</f>
        <v>GE Guaianazes</v>
      </c>
      <c r="C101" s="454"/>
      <c r="D101" s="454"/>
      <c r="E101" s="455"/>
      <c r="F101" s="98"/>
      <c r="G101" s="454" t="str">
        <f>$B$3</f>
        <v>GE Guaianazes</v>
      </c>
      <c r="H101" s="454"/>
      <c r="I101" s="454"/>
      <c r="J101" s="455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>
      <c r="A102" s="98"/>
      <c r="B102" s="454"/>
      <c r="C102" s="454"/>
      <c r="D102" s="454"/>
      <c r="E102" s="455"/>
      <c r="F102" s="98"/>
      <c r="G102" s="454"/>
      <c r="H102" s="454"/>
      <c r="I102" s="454"/>
      <c r="J102" s="455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>
      <c r="A103" s="98"/>
      <c r="B103" s="99"/>
      <c r="C103" s="99"/>
      <c r="D103" s="99"/>
      <c r="E103" s="100"/>
      <c r="F103" s="98"/>
      <c r="G103" s="99"/>
      <c r="H103" s="99"/>
      <c r="I103" s="99"/>
      <c r="J103" s="100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>
      <c r="A104" s="400" t="str">
        <f>$A$6</f>
        <v>no sábado, dia 03/07/2010 das 18 às 21 h</v>
      </c>
      <c r="B104" s="401"/>
      <c r="C104" s="401"/>
      <c r="D104" s="401"/>
      <c r="E104" s="402"/>
      <c r="F104" s="400" t="str">
        <f>$A$6</f>
        <v>no sábado, dia 03/07/2010 das 18 às 21 h</v>
      </c>
      <c r="G104" s="401"/>
      <c r="H104" s="401"/>
      <c r="I104" s="401"/>
      <c r="J104" s="402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>
      <c r="A105" s="400"/>
      <c r="B105" s="401"/>
      <c r="C105" s="401"/>
      <c r="D105" s="401"/>
      <c r="E105" s="402"/>
      <c r="F105" s="400"/>
      <c r="G105" s="401"/>
      <c r="H105" s="401"/>
      <c r="I105" s="401"/>
      <c r="J105" s="402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8" customHeight="1">
      <c r="A106" s="58"/>
      <c r="B106" s="59"/>
      <c r="C106" s="59"/>
      <c r="D106" s="59"/>
      <c r="E106" s="60"/>
      <c r="F106" s="58"/>
      <c r="G106" s="59"/>
      <c r="H106" s="59"/>
      <c r="I106" s="59"/>
      <c r="J106" s="60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8" customHeight="1">
      <c r="A107" s="415" t="str">
        <f>$A$9</f>
        <v>local: Av. Imp. Leopoldina, 730               Nova Petrópolis - SBCampo</v>
      </c>
      <c r="B107" s="416"/>
      <c r="C107" s="416"/>
      <c r="D107" s="416"/>
      <c r="E107" s="417"/>
      <c r="F107" s="415" t="str">
        <f>$A$9</f>
        <v>local: Av. Imp. Leopoldina, 730               Nova Petrópolis - SBCampo</v>
      </c>
      <c r="G107" s="416"/>
      <c r="H107" s="416"/>
      <c r="I107" s="416"/>
      <c r="J107" s="41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>
      <c r="A108" s="415"/>
      <c r="B108" s="416"/>
      <c r="C108" s="416"/>
      <c r="D108" s="416"/>
      <c r="E108" s="417"/>
      <c r="F108" s="415"/>
      <c r="G108" s="416"/>
      <c r="H108" s="416"/>
      <c r="I108" s="416"/>
      <c r="J108" s="41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>
      <c r="A109" s="449" t="str">
        <f>$A$11</f>
        <v>Esperamos por você!!!</v>
      </c>
      <c r="B109" s="450"/>
      <c r="C109" s="450"/>
      <c r="D109" s="450"/>
      <c r="E109" s="451"/>
      <c r="F109" s="449" t="str">
        <f>$A$11</f>
        <v>Esperamos por você!!!</v>
      </c>
      <c r="G109" s="450"/>
      <c r="H109" s="450"/>
      <c r="I109" s="450"/>
      <c r="J109" s="451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>
      <c r="A110" s="449"/>
      <c r="B110" s="450"/>
      <c r="C110" s="450"/>
      <c r="D110" s="450"/>
      <c r="E110" s="451"/>
      <c r="F110" s="449"/>
      <c r="G110" s="450"/>
      <c r="H110" s="450"/>
      <c r="I110" s="450"/>
      <c r="J110" s="451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">
      <c r="A111" s="443" t="str">
        <f>$A$13</f>
        <v>SEMPRE ALERTA!!!</v>
      </c>
      <c r="B111" s="444"/>
      <c r="C111" s="444"/>
      <c r="D111" s="444"/>
      <c r="E111" s="445"/>
      <c r="F111" s="443" t="str">
        <f>$A$13</f>
        <v>SEMPRE ALERTA!!!</v>
      </c>
      <c r="G111" s="444"/>
      <c r="H111" s="444"/>
      <c r="I111" s="444"/>
      <c r="J111" s="445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>
      <c r="A112" s="412"/>
      <c r="B112" s="413"/>
      <c r="C112" s="413"/>
      <c r="D112" s="413"/>
      <c r="E112" s="414"/>
      <c r="F112" s="412"/>
      <c r="G112" s="413"/>
      <c r="H112" s="413"/>
      <c r="I112" s="413"/>
      <c r="J112" s="41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4.25">
      <c r="A113" s="437" t="str">
        <f>$A$15</f>
        <v>Grupo Escoteiro Guaianazes 68ºSP</v>
      </c>
      <c r="B113" s="438"/>
      <c r="C113" s="438"/>
      <c r="D113" s="438"/>
      <c r="E113" s="439"/>
      <c r="F113" s="437" t="str">
        <f>$A$15</f>
        <v>Grupo Escoteiro Guaianazes 68ºSP</v>
      </c>
      <c r="G113" s="438"/>
      <c r="H113" s="438"/>
      <c r="I113" s="438"/>
      <c r="J113" s="439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>
      <c r="A114" s="446"/>
      <c r="B114" s="447"/>
      <c r="C114" s="447"/>
      <c r="D114" s="447"/>
      <c r="E114" s="448"/>
      <c r="F114" s="446"/>
      <c r="G114" s="447"/>
      <c r="H114" s="447"/>
      <c r="I114" s="447"/>
      <c r="J114" s="448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4.25">
      <c r="A115" s="64"/>
      <c r="B115" s="65"/>
      <c r="C115" s="65"/>
      <c r="D115" s="65"/>
      <c r="E115" s="66"/>
      <c r="F115" s="64"/>
      <c r="G115" s="65"/>
      <c r="H115" s="65"/>
      <c r="I115" s="65"/>
      <c r="J115" s="66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4.25">
      <c r="A116" s="64"/>
      <c r="B116" s="65"/>
      <c r="C116" s="65"/>
      <c r="D116" s="65"/>
      <c r="E116" s="66"/>
      <c r="F116" s="64"/>
      <c r="G116" s="65"/>
      <c r="H116" s="65"/>
      <c r="I116" s="65"/>
      <c r="J116" s="66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4.25">
      <c r="A117" s="64"/>
      <c r="B117" s="65"/>
      <c r="C117" s="65"/>
      <c r="D117" s="65"/>
      <c r="E117" s="66"/>
      <c r="F117" s="64"/>
      <c r="G117" s="65"/>
      <c r="H117" s="65"/>
      <c r="I117" s="65"/>
      <c r="J117" s="66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4.25" customHeight="1">
      <c r="A118" s="434" t="str">
        <f>$A$20</f>
        <v>No dia 12/junho cada jovem recebe 3 convites,</v>
      </c>
      <c r="B118" s="435"/>
      <c r="C118" s="435"/>
      <c r="D118" s="435"/>
      <c r="E118" s="436"/>
      <c r="F118" s="434" t="str">
        <f>$A$20</f>
        <v>No dia 12/junho cada jovem recebe 3 convites,</v>
      </c>
      <c r="G118" s="435"/>
      <c r="H118" s="435"/>
      <c r="I118" s="435"/>
      <c r="J118" s="436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4.25" customHeight="1">
      <c r="A119" s="434" t="str">
        <f>$A$21</f>
        <v>que podem ser acertados até 26/junho.</v>
      </c>
      <c r="B119" s="435"/>
      <c r="C119" s="435"/>
      <c r="D119" s="435"/>
      <c r="E119" s="436"/>
      <c r="F119" s="434" t="str">
        <f>$A$21</f>
        <v>que podem ser acertados até 26/junho.</v>
      </c>
      <c r="G119" s="435"/>
      <c r="H119" s="435"/>
      <c r="I119" s="435"/>
      <c r="J119" s="436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>
      <c r="A120" s="67"/>
      <c r="B120" s="68"/>
      <c r="C120" s="68"/>
      <c r="D120" s="68"/>
      <c r="E120" s="69"/>
      <c r="F120" s="67"/>
      <c r="G120" s="68"/>
      <c r="H120" s="68"/>
      <c r="I120" s="68"/>
      <c r="J120" s="69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4.25" customHeight="1">
      <c r="A121" s="434" t="str">
        <f>$A$23</f>
        <v>Solicitamos como colaboração da sua família </v>
      </c>
      <c r="B121" s="435"/>
      <c r="C121" s="435"/>
      <c r="D121" s="435"/>
      <c r="E121" s="436"/>
      <c r="F121" s="434" t="str">
        <f>$A$23</f>
        <v>Solicitamos como colaboração da sua família </v>
      </c>
      <c r="G121" s="435"/>
      <c r="H121" s="435"/>
      <c r="I121" s="435"/>
      <c r="J121" s="436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4.25">
      <c r="A122" s="434" t="str">
        <f>$A$24</f>
        <v>a venda de ingressos para os amigos, parentes,</v>
      </c>
      <c r="B122" s="435"/>
      <c r="C122" s="435"/>
      <c r="D122" s="435"/>
      <c r="E122" s="436"/>
      <c r="F122" s="434" t="str">
        <f>$A$24</f>
        <v>a venda de ingressos para os amigos, parentes,</v>
      </c>
      <c r="G122" s="435"/>
      <c r="H122" s="435"/>
      <c r="I122" s="435"/>
      <c r="J122" s="436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4.25" customHeight="1">
      <c r="A123" s="440" t="str">
        <f>A91</f>
        <v>doando prendas e 4 L de refrigerante,</v>
      </c>
      <c r="B123" s="441"/>
      <c r="C123" s="441"/>
      <c r="D123" s="441"/>
      <c r="E123" s="442"/>
      <c r="F123" s="440" t="str">
        <f>$A$25</f>
        <v>doando prendas, entregando-as dia do acerto,</v>
      </c>
      <c r="G123" s="441"/>
      <c r="H123" s="441"/>
      <c r="I123" s="441"/>
      <c r="J123" s="442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4.25" customHeight="1">
      <c r="A124" s="434" t="str">
        <f>A92</f>
        <v> entregando-as dia do acerto.</v>
      </c>
      <c r="B124" s="435"/>
      <c r="C124" s="435"/>
      <c r="D124" s="435"/>
      <c r="E124" s="436"/>
      <c r="F124" s="434" t="str">
        <f>$A$26</f>
        <v>E no dia da festa, doando um prato de salgados.</v>
      </c>
      <c r="G124" s="435"/>
      <c r="H124" s="435"/>
      <c r="I124" s="435"/>
      <c r="J124" s="436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4.25">
      <c r="A125" s="70"/>
      <c r="B125" s="71"/>
      <c r="C125" s="71"/>
      <c r="D125" s="71"/>
      <c r="E125" s="72"/>
      <c r="F125" s="70"/>
      <c r="G125" s="71"/>
      <c r="H125" s="71"/>
      <c r="I125" s="71"/>
      <c r="J125" s="72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4.25">
      <c r="A126" s="434"/>
      <c r="B126" s="435"/>
      <c r="C126" s="435"/>
      <c r="D126" s="435"/>
      <c r="E126" s="436"/>
      <c r="F126" s="434"/>
      <c r="G126" s="435"/>
      <c r="H126" s="435"/>
      <c r="I126" s="435"/>
      <c r="J126" s="436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4.25" customHeight="1">
      <c r="A127" s="434" t="str">
        <f>$A$29</f>
        <v>Obrigado ! ! !</v>
      </c>
      <c r="B127" s="435"/>
      <c r="C127" s="435"/>
      <c r="D127" s="435"/>
      <c r="E127" s="436"/>
      <c r="F127" s="434" t="str">
        <f>$A$29</f>
        <v>Obrigado ! ! !</v>
      </c>
      <c r="G127" s="435"/>
      <c r="H127" s="435"/>
      <c r="I127" s="435"/>
      <c r="J127" s="436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4.25">
      <c r="A128" s="434"/>
      <c r="B128" s="435"/>
      <c r="C128" s="435"/>
      <c r="D128" s="435"/>
      <c r="E128" s="436"/>
      <c r="F128" s="434"/>
      <c r="G128" s="435"/>
      <c r="H128" s="435"/>
      <c r="I128" s="435"/>
      <c r="J128" s="436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4.25">
      <c r="A129" s="437" t="str">
        <f>$A$31</f>
        <v>A Diretoria do Grupo</v>
      </c>
      <c r="B129" s="438"/>
      <c r="C129" s="438"/>
      <c r="D129" s="438"/>
      <c r="E129" s="439"/>
      <c r="F129" s="437" t="str">
        <f>$A$31</f>
        <v>A Diretoria do Grupo</v>
      </c>
      <c r="G129" s="438"/>
      <c r="H129" s="438"/>
      <c r="I129" s="438"/>
      <c r="J129" s="439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thickBot="1">
      <c r="A130" s="406"/>
      <c r="B130" s="407"/>
      <c r="C130" s="407"/>
      <c r="D130" s="407"/>
      <c r="E130" s="408"/>
      <c r="F130" s="406"/>
      <c r="G130" s="407"/>
      <c r="H130" s="407"/>
      <c r="I130" s="407"/>
      <c r="J130" s="408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thickTop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</sheetData>
  <sheetProtection/>
  <mergeCells count="160">
    <mergeCell ref="F48:J48"/>
    <mergeCell ref="A46:E46"/>
    <mergeCell ref="A55:E55"/>
    <mergeCell ref="F55:J55"/>
    <mergeCell ref="A58:E58"/>
    <mergeCell ref="F58:J58"/>
    <mergeCell ref="A57:E57"/>
    <mergeCell ref="F57:J57"/>
    <mergeCell ref="A56:E56"/>
    <mergeCell ref="B1:E2"/>
    <mergeCell ref="B3:E4"/>
    <mergeCell ref="G1:J2"/>
    <mergeCell ref="G3:J4"/>
    <mergeCell ref="A47:E47"/>
    <mergeCell ref="F47:J47"/>
    <mergeCell ref="F46:J46"/>
    <mergeCell ref="A38:E39"/>
    <mergeCell ref="F32:J32"/>
    <mergeCell ref="A41:E42"/>
    <mergeCell ref="F56:J56"/>
    <mergeCell ref="A43:E44"/>
    <mergeCell ref="A45:E45"/>
    <mergeCell ref="F45:J45"/>
    <mergeCell ref="F43:J44"/>
    <mergeCell ref="A53:E53"/>
    <mergeCell ref="F53:J53"/>
    <mergeCell ref="A52:E52"/>
    <mergeCell ref="F52:J52"/>
    <mergeCell ref="A48:E48"/>
    <mergeCell ref="A32:E32"/>
    <mergeCell ref="G33:J34"/>
    <mergeCell ref="B35:E36"/>
    <mergeCell ref="G35:J36"/>
    <mergeCell ref="F38:J39"/>
    <mergeCell ref="F41:J42"/>
    <mergeCell ref="F15:J15"/>
    <mergeCell ref="F16:J16"/>
    <mergeCell ref="B33:E34"/>
    <mergeCell ref="F9:J10"/>
    <mergeCell ref="F13:J13"/>
    <mergeCell ref="F14:J14"/>
    <mergeCell ref="A30:E30"/>
    <mergeCell ref="A24:E24"/>
    <mergeCell ref="A25:E25"/>
    <mergeCell ref="F29:J29"/>
    <mergeCell ref="F20:J20"/>
    <mergeCell ref="A26:E26"/>
    <mergeCell ref="A29:E29"/>
    <mergeCell ref="A6:E7"/>
    <mergeCell ref="F6:J7"/>
    <mergeCell ref="A11:E12"/>
    <mergeCell ref="F23:J23"/>
    <mergeCell ref="A14:E14"/>
    <mergeCell ref="F11:J12"/>
    <mergeCell ref="A9:E10"/>
    <mergeCell ref="A13:E13"/>
    <mergeCell ref="A23:E23"/>
    <mergeCell ref="A15:E15"/>
    <mergeCell ref="A16:E16"/>
    <mergeCell ref="A20:E20"/>
    <mergeCell ref="A21:E21"/>
    <mergeCell ref="A31:E31"/>
    <mergeCell ref="F30:J30"/>
    <mergeCell ref="F26:J26"/>
    <mergeCell ref="F24:J24"/>
    <mergeCell ref="F31:J31"/>
    <mergeCell ref="F21:J21"/>
    <mergeCell ref="A28:E28"/>
    <mergeCell ref="F25:J25"/>
    <mergeCell ref="F28:J28"/>
    <mergeCell ref="G67:J68"/>
    <mergeCell ref="G69:J70"/>
    <mergeCell ref="A64:E64"/>
    <mergeCell ref="F64:J64"/>
    <mergeCell ref="B67:E68"/>
    <mergeCell ref="B69:E70"/>
    <mergeCell ref="F60:J60"/>
    <mergeCell ref="A60:E60"/>
    <mergeCell ref="F61:J61"/>
    <mergeCell ref="F63:J63"/>
    <mergeCell ref="A62:E62"/>
    <mergeCell ref="A63:E63"/>
    <mergeCell ref="A61:E61"/>
    <mergeCell ref="F62:J62"/>
    <mergeCell ref="A81:E81"/>
    <mergeCell ref="F81:J81"/>
    <mergeCell ref="A79:E79"/>
    <mergeCell ref="F79:J79"/>
    <mergeCell ref="A72:E73"/>
    <mergeCell ref="F72:J73"/>
    <mergeCell ref="A75:E76"/>
    <mergeCell ref="F75:J76"/>
    <mergeCell ref="A77:E78"/>
    <mergeCell ref="F77:J78"/>
    <mergeCell ref="A92:E92"/>
    <mergeCell ref="F92:J92"/>
    <mergeCell ref="A80:E80"/>
    <mergeCell ref="F80:J80"/>
    <mergeCell ref="A87:E87"/>
    <mergeCell ref="F87:J87"/>
    <mergeCell ref="A82:E82"/>
    <mergeCell ref="F82:J82"/>
    <mergeCell ref="A86:E86"/>
    <mergeCell ref="F86:J86"/>
    <mergeCell ref="A97:E97"/>
    <mergeCell ref="F97:J97"/>
    <mergeCell ref="A89:E89"/>
    <mergeCell ref="F89:J89"/>
    <mergeCell ref="A90:E90"/>
    <mergeCell ref="F90:J90"/>
    <mergeCell ref="A91:E91"/>
    <mergeCell ref="F91:J91"/>
    <mergeCell ref="A94:E94"/>
    <mergeCell ref="F94:J94"/>
    <mergeCell ref="G99:J100"/>
    <mergeCell ref="G101:J102"/>
    <mergeCell ref="B99:E100"/>
    <mergeCell ref="B101:E102"/>
    <mergeCell ref="A95:E95"/>
    <mergeCell ref="F95:J95"/>
    <mergeCell ref="A98:E98"/>
    <mergeCell ref="F98:J98"/>
    <mergeCell ref="A96:E96"/>
    <mergeCell ref="F96:J96"/>
    <mergeCell ref="A109:E110"/>
    <mergeCell ref="F109:J110"/>
    <mergeCell ref="A104:E105"/>
    <mergeCell ref="F104:J105"/>
    <mergeCell ref="A107:E108"/>
    <mergeCell ref="F107:J108"/>
    <mergeCell ref="A119:E119"/>
    <mergeCell ref="F119:J119"/>
    <mergeCell ref="A118:E118"/>
    <mergeCell ref="F118:J118"/>
    <mergeCell ref="A114:E114"/>
    <mergeCell ref="F114:J114"/>
    <mergeCell ref="A111:E111"/>
    <mergeCell ref="F111:J111"/>
    <mergeCell ref="A112:E112"/>
    <mergeCell ref="F112:J112"/>
    <mergeCell ref="A113:E113"/>
    <mergeCell ref="F113:J113"/>
    <mergeCell ref="A126:E126"/>
    <mergeCell ref="F126:J126"/>
    <mergeCell ref="A121:E121"/>
    <mergeCell ref="F121:J121"/>
    <mergeCell ref="A122:E122"/>
    <mergeCell ref="F122:J122"/>
    <mergeCell ref="A123:E123"/>
    <mergeCell ref="F123:J123"/>
    <mergeCell ref="A124:E124"/>
    <mergeCell ref="F124:J124"/>
    <mergeCell ref="A127:E127"/>
    <mergeCell ref="F127:J127"/>
    <mergeCell ref="A130:E130"/>
    <mergeCell ref="F130:J130"/>
    <mergeCell ref="A128:E128"/>
    <mergeCell ref="F128:J128"/>
    <mergeCell ref="A129:E129"/>
    <mergeCell ref="F129:J129"/>
  </mergeCells>
  <printOptions gridLines="1"/>
  <pageMargins left="0.2362204724409449" right="0" top="0.2362204724409449" bottom="0" header="0" footer="0"/>
  <pageSetup orientation="portrait" paperSize="9" scale="88" r:id="rId2"/>
  <rowBreaks count="3" manualBreakCount="3">
    <brk id="64" max="255" man="1"/>
    <brk id="66" max="9" man="1"/>
    <brk id="130" max="255" man="1"/>
  </rowBreaks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100"/>
  <sheetViews>
    <sheetView zoomScale="78" zoomScaleNormal="78" zoomScalePageLayoutView="0" workbookViewId="0" topLeftCell="A1">
      <selection activeCell="A1" sqref="A1:A10"/>
    </sheetView>
  </sheetViews>
  <sheetFormatPr defaultColWidth="9.140625" defaultRowHeight="12.75"/>
  <cols>
    <col min="1" max="1" width="13.7109375" style="18" customWidth="1"/>
    <col min="2" max="2" width="95.140625" style="4" bestFit="1" customWidth="1"/>
    <col min="3" max="3" width="29.140625" style="1" customWidth="1"/>
    <col min="5" max="5" width="9.7109375" style="0" customWidth="1"/>
  </cols>
  <sheetData>
    <row r="1" spans="1:26" ht="32.25" customHeight="1">
      <c r="A1" s="468" t="str">
        <f>CONCATENATE("           ",cronograma!C3," ",TEXT(cronograma!$C$4,"aaaa"),"
            ingresso número")</f>
        <v>           Festa Junina 2010
            ingresso número</v>
      </c>
      <c r="B1" s="136" t="str">
        <f>cronograma!$C$3</f>
        <v>Festa Junina</v>
      </c>
      <c r="C1" s="458" t="str">
        <f>cronograma!$E$6</f>
        <v>um espetinho</v>
      </c>
      <c r="D1" s="44"/>
      <c r="E1" s="226">
        <v>345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9" customHeight="1">
      <c r="A2" s="468"/>
      <c r="B2" s="75"/>
      <c r="C2" s="459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4">
      <c r="A3" s="468"/>
      <c r="B3" s="133" t="str">
        <f>CONCATENATE(cronograma!$E$4,", dia ",TEXT(cronograma!$C$4,"dd/mm/aaaa")," das ",cronograma!$C$5," às ",cronograma!$E$5,"h")</f>
        <v>sábado, dia 03/07/2010 das 18 às 21h</v>
      </c>
      <c r="C3" s="460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9.5">
      <c r="A4" s="468"/>
      <c r="B4" s="3"/>
      <c r="C4" s="461" t="str">
        <f>cronograma!$E$7</f>
        <v>200ml de refrigerante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.75" customHeight="1">
      <c r="A5" s="468"/>
      <c r="B5" s="43"/>
      <c r="C5" s="46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1">
      <c r="A6" s="468"/>
      <c r="B6" s="134" t="str">
        <f>cronograma!$C$11</f>
        <v>VAI TER: bingo, jogos, comidas típicas e muita animação !</v>
      </c>
      <c r="C6" s="4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9" customHeight="1">
      <c r="A7" s="468"/>
      <c r="B7" s="75"/>
      <c r="C7" s="467" t="str">
        <f>cronograma!$E$8</f>
        <v>uma pipoca E um doce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9.5">
      <c r="A8" s="468"/>
      <c r="B8" s="42" t="str">
        <f>CONCATENATE("cada ingresso: ",TEXT(cronograma!$C$6,"R$ ##,00"))</f>
        <v>cada ingresso: R$ 6,00</v>
      </c>
      <c r="C8" s="459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5" customHeight="1">
      <c r="A9" s="468"/>
      <c r="B9" s="135" t="str">
        <f>cronograma!$C$10</f>
        <v>ingresso pago até 26/junho custa R$5,00</v>
      </c>
      <c r="C9" s="460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5" customHeight="1">
      <c r="A10" s="468"/>
      <c r="B10" s="222">
        <f>E1+1</f>
        <v>346</v>
      </c>
      <c r="C10" s="464" t="str">
        <f>cronograma!$E$9</f>
        <v>um jogo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9" customHeight="1">
      <c r="A11" s="223"/>
      <c r="B11" s="75"/>
      <c r="C11" s="465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0.25">
      <c r="A12" s="224">
        <f>$E$1+1</f>
        <v>346</v>
      </c>
      <c r="B12" s="2" t="str">
        <f>CONCATENATE(cronograma!$J$1,"  ",cronograma!$C$2," ",cronograma!$J$2," tel: ",cronograma!$J$3)</f>
        <v>GE Guaianazes  Av. Imp. Leopoldina, 730 Nova Petrópolis - SBCampo tel: 4122-5393</v>
      </c>
      <c r="C12" s="46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 thickBot="1">
      <c r="A13" s="225"/>
      <c r="B13" s="5"/>
      <c r="C13" s="466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32.25" customHeight="1">
      <c r="A14" s="456" t="str">
        <f>$A$1</f>
        <v>           Festa Junina 2010
            ingresso número</v>
      </c>
      <c r="B14" s="136" t="str">
        <f>$B$1</f>
        <v>Festa Junina</v>
      </c>
      <c r="C14" s="458" t="str">
        <f>$C$1</f>
        <v>um espetinho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9" customHeight="1">
      <c r="A15" s="457"/>
      <c r="C15" s="45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4">
      <c r="A16" s="457"/>
      <c r="B16" s="133" t="str">
        <f>$B$3</f>
        <v>sábado, dia 03/07/2010 das 18 às 21h</v>
      </c>
      <c r="C16" s="460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9.5">
      <c r="A17" s="457"/>
      <c r="B17" s="3"/>
      <c r="C17" s="461" t="str">
        <f>$C$4</f>
        <v>200ml de refrigerante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customHeight="1">
      <c r="A18" s="457"/>
      <c r="B18" s="43"/>
      <c r="C18" s="46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1">
      <c r="A19" s="457"/>
      <c r="B19" s="134" t="str">
        <f>$B$6</f>
        <v>VAI TER: bingo, jogos, comidas típicas e muita animação !</v>
      </c>
      <c r="C19" s="46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9" customHeight="1">
      <c r="A20" s="457"/>
      <c r="C20" s="467" t="str">
        <f>$C$7</f>
        <v>uma pipoca E um doce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9.5">
      <c r="A21" s="457"/>
      <c r="B21" s="42" t="str">
        <f>$B$8</f>
        <v>cada ingresso: R$ 6,00</v>
      </c>
      <c r="C21" s="459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" customHeight="1">
      <c r="A22" s="457"/>
      <c r="B22" s="135" t="str">
        <f>$B$9</f>
        <v>ingresso pago até 26/junho custa R$5,00</v>
      </c>
      <c r="C22" s="460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" customHeight="1">
      <c r="A23" s="457"/>
      <c r="B23" s="222">
        <f>$E$1+2</f>
        <v>347</v>
      </c>
      <c r="C23" s="464" t="str">
        <f>$C$10</f>
        <v>um jogo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9" customHeight="1">
      <c r="A24" s="223"/>
      <c r="C24" s="46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20.25">
      <c r="A25" s="224">
        <f>$E$1+2</f>
        <v>347</v>
      </c>
      <c r="B25" s="2" t="str">
        <f>$B$12</f>
        <v>GE Guaianazes  Av. Imp. Leopoldina, 730 Nova Petrópolis - SBCampo tel: 4122-5393</v>
      </c>
      <c r="C25" s="46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 thickBot="1">
      <c r="A26" s="225"/>
      <c r="B26" s="5"/>
      <c r="C26" s="46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32.25" customHeight="1">
      <c r="A27" s="456" t="str">
        <f>$A$1</f>
        <v>           Festa Junina 2010
            ingresso número</v>
      </c>
      <c r="B27" s="136" t="str">
        <f>$B$1</f>
        <v>Festa Junina</v>
      </c>
      <c r="C27" s="458" t="str">
        <f>$C$1</f>
        <v>um espetinho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9" customHeight="1">
      <c r="A28" s="457"/>
      <c r="C28" s="45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24">
      <c r="A29" s="457"/>
      <c r="B29" s="133" t="str">
        <f>$B$3</f>
        <v>sábado, dia 03/07/2010 das 18 às 21h</v>
      </c>
      <c r="C29" s="460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9.5">
      <c r="A30" s="457"/>
      <c r="B30" s="3"/>
      <c r="C30" s="461" t="str">
        <f>$C$4</f>
        <v>200ml de refrigerante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customHeight="1">
      <c r="A31" s="457"/>
      <c r="B31" s="43"/>
      <c r="C31" s="462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21">
      <c r="A32" s="457"/>
      <c r="B32" s="134" t="str">
        <f>$B$6</f>
        <v>VAI TER: bingo, jogos, comidas típicas e muita animação !</v>
      </c>
      <c r="C32" s="46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9" customHeight="1">
      <c r="A33" s="457"/>
      <c r="C33" s="467" t="str">
        <f>$C$7</f>
        <v>uma pipoca E um doce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9.5">
      <c r="A34" s="457"/>
      <c r="B34" s="42" t="str">
        <f>$B$8</f>
        <v>cada ingresso: R$ 6,00</v>
      </c>
      <c r="C34" s="459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" customHeight="1">
      <c r="A35" s="457"/>
      <c r="B35" s="135" t="str">
        <f>$B$9</f>
        <v>ingresso pago até 26/junho custa R$5,00</v>
      </c>
      <c r="C35" s="460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" customHeight="1">
      <c r="A36" s="457"/>
      <c r="B36" s="222">
        <f>$E$1+3</f>
        <v>348</v>
      </c>
      <c r="C36" s="464" t="str">
        <f>$C$10</f>
        <v>um jogo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9" customHeight="1">
      <c r="A37" s="223"/>
      <c r="C37" s="46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20.25">
      <c r="A38" s="224">
        <f>$E$1+3</f>
        <v>348</v>
      </c>
      <c r="B38" s="2" t="str">
        <f>$B$12</f>
        <v>GE Guaianazes  Av. Imp. Leopoldina, 730 Nova Petrópolis - SBCampo tel: 4122-5393</v>
      </c>
      <c r="C38" s="465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 thickBot="1">
      <c r="A39" s="225"/>
      <c r="B39" s="5"/>
      <c r="C39" s="46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32.25" customHeight="1">
      <c r="A40" s="456" t="str">
        <f>$A$1</f>
        <v>           Festa Junina 2010
            ingresso número</v>
      </c>
      <c r="B40" s="136" t="str">
        <f>$B$1</f>
        <v>Festa Junina</v>
      </c>
      <c r="C40" s="458" t="str">
        <f>$C$1</f>
        <v>um espetinho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9" customHeight="1">
      <c r="A41" s="457"/>
      <c r="C41" s="45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24">
      <c r="A42" s="457"/>
      <c r="B42" s="133" t="str">
        <f>$B$3</f>
        <v>sábado, dia 03/07/2010 das 18 às 21h</v>
      </c>
      <c r="C42" s="460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9.5">
      <c r="A43" s="457"/>
      <c r="B43" s="3"/>
      <c r="C43" s="461" t="str">
        <f>$C$4</f>
        <v>200ml de refrigerante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customHeight="1">
      <c r="A44" s="457"/>
      <c r="B44" s="43"/>
      <c r="C44" s="462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21">
      <c r="A45" s="457"/>
      <c r="B45" s="134" t="str">
        <f>$B$6</f>
        <v>VAI TER: bingo, jogos, comidas típicas e muita animação !</v>
      </c>
      <c r="C45" s="46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9" customHeight="1">
      <c r="A46" s="457"/>
      <c r="C46" s="467" t="str">
        <f>$C$7</f>
        <v>uma pipoca E um doce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9.5">
      <c r="A47" s="457"/>
      <c r="B47" s="42" t="str">
        <f>$B$8</f>
        <v>cada ingresso: R$ 6,00</v>
      </c>
      <c r="C47" s="459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" customHeight="1">
      <c r="A48" s="457"/>
      <c r="B48" s="135" t="str">
        <f>$B$9</f>
        <v>ingresso pago até 26/junho custa R$5,00</v>
      </c>
      <c r="C48" s="460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" customHeight="1">
      <c r="A49" s="457"/>
      <c r="B49" s="222">
        <f>$E$1+4</f>
        <v>349</v>
      </c>
      <c r="C49" s="464" t="str">
        <f>$C$10</f>
        <v>um jogo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9" customHeight="1">
      <c r="A50" s="223"/>
      <c r="C50" s="46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20.25">
      <c r="A51" s="224">
        <f>$E$1+4</f>
        <v>349</v>
      </c>
      <c r="B51" s="2" t="str">
        <f>$B$12</f>
        <v>GE Guaianazes  Av. Imp. Leopoldina, 730 Nova Petrópolis - SBCampo tel: 4122-5393</v>
      </c>
      <c r="C51" s="46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 thickBot="1">
      <c r="A52" s="225"/>
      <c r="B52" s="5"/>
      <c r="C52" s="466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32.25" customHeight="1">
      <c r="A53" s="456" t="str">
        <f>$A$1</f>
        <v>           Festa Junina 2010
            ingresso número</v>
      </c>
      <c r="B53" s="136" t="str">
        <f>$B$1</f>
        <v>Festa Junina</v>
      </c>
      <c r="C53" s="458" t="str">
        <f>$C$1</f>
        <v>um espetinho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9" customHeight="1">
      <c r="A54" s="457"/>
      <c r="C54" s="459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24">
      <c r="A55" s="457"/>
      <c r="B55" s="133" t="str">
        <f>$B$3</f>
        <v>sábado, dia 03/07/2010 das 18 às 21h</v>
      </c>
      <c r="C55" s="460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9.5">
      <c r="A56" s="457"/>
      <c r="B56" s="3"/>
      <c r="C56" s="461" t="str">
        <f>$C$4</f>
        <v>200ml de refrigerante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>
      <c r="A57" s="457"/>
      <c r="B57" s="43"/>
      <c r="C57" s="46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21">
      <c r="A58" s="457"/>
      <c r="B58" s="134" t="str">
        <f>$B$6</f>
        <v>VAI TER: bingo, jogos, comidas típicas e muita animação !</v>
      </c>
      <c r="C58" s="46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9" customHeight="1">
      <c r="A59" s="457"/>
      <c r="C59" s="467" t="str">
        <f>$C$7</f>
        <v>uma pipoca E um doce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9.5">
      <c r="A60" s="457"/>
      <c r="B60" s="42" t="str">
        <f>$B$8</f>
        <v>cada ingresso: R$ 6,00</v>
      </c>
      <c r="C60" s="459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" customHeight="1">
      <c r="A61" s="457"/>
      <c r="B61" s="135" t="str">
        <f>$B$9</f>
        <v>ingresso pago até 26/junho custa R$5,00</v>
      </c>
      <c r="C61" s="460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" customHeight="1">
      <c r="A62" s="457"/>
      <c r="B62" s="222">
        <f>$E$1+5</f>
        <v>350</v>
      </c>
      <c r="C62" s="464" t="str">
        <f>$C$10</f>
        <v>um jogo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9" customHeight="1">
      <c r="A63" s="223"/>
      <c r="C63" s="46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20.25">
      <c r="A64" s="224">
        <f>$E$1+5</f>
        <v>350</v>
      </c>
      <c r="B64" s="2" t="str">
        <f>$B$12</f>
        <v>GE Guaianazes  Av. Imp. Leopoldina, 730 Nova Petrópolis - SBCampo tel: 4122-5393</v>
      </c>
      <c r="C64" s="465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 thickBot="1">
      <c r="A65" s="225"/>
      <c r="B65" s="5"/>
      <c r="C65" s="466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>
      <c r="A66" s="55"/>
      <c r="B66" s="56"/>
      <c r="C66" s="57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>
      <c r="A67" s="55"/>
      <c r="B67" s="56"/>
      <c r="C67" s="57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>
      <c r="A68" s="55"/>
      <c r="B68" s="56"/>
      <c r="C68" s="57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>
      <c r="A69" s="55"/>
      <c r="B69" s="56"/>
      <c r="C69" s="57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>
      <c r="A70" s="55"/>
      <c r="B70" s="56"/>
      <c r="C70" s="57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>
      <c r="A71" s="55"/>
      <c r="B71" s="56"/>
      <c r="C71" s="57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>
      <c r="A72" s="55"/>
      <c r="B72" s="56"/>
      <c r="C72" s="57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>
      <c r="A73" s="55"/>
      <c r="B73" s="56"/>
      <c r="C73" s="57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>
      <c r="A74" s="55"/>
      <c r="B74" s="56"/>
      <c r="C74" s="57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>
      <c r="A75" s="55"/>
      <c r="B75" s="56"/>
      <c r="C75" s="57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>
      <c r="A76" s="55"/>
      <c r="B76" s="56"/>
      <c r="C76" s="57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>
      <c r="A77" s="55"/>
      <c r="B77" s="56"/>
      <c r="C77" s="57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>
      <c r="A78" s="55"/>
      <c r="B78" s="56"/>
      <c r="C78" s="57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>
      <c r="A79" s="55"/>
      <c r="B79" s="56"/>
      <c r="C79" s="57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>
      <c r="A80" s="55"/>
      <c r="B80" s="56"/>
      <c r="C80" s="57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>
      <c r="A81" s="55"/>
      <c r="B81" s="56"/>
      <c r="C81" s="57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>
      <c r="A82" s="55"/>
      <c r="B82" s="56"/>
      <c r="C82" s="57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>
      <c r="A83" s="55"/>
      <c r="B83" s="56"/>
      <c r="C83" s="57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>
      <c r="A84" s="55"/>
      <c r="B84" s="56"/>
      <c r="C84" s="57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>
      <c r="A85" s="55"/>
      <c r="B85" s="56"/>
      <c r="C85" s="57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>
      <c r="A86" s="55"/>
      <c r="B86" s="56"/>
      <c r="C86" s="57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>
      <c r="A87" s="55"/>
      <c r="B87" s="56"/>
      <c r="C87" s="57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>
      <c r="A88" s="55"/>
      <c r="B88" s="56"/>
      <c r="C88" s="57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>
      <c r="A89" s="55"/>
      <c r="B89" s="56"/>
      <c r="C89" s="57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>
      <c r="A90" s="55"/>
      <c r="B90" s="56"/>
      <c r="C90" s="57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>
      <c r="A91" s="55"/>
      <c r="B91" s="56"/>
      <c r="C91" s="57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>
      <c r="A92" s="55"/>
      <c r="B92" s="56"/>
      <c r="C92" s="57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>
      <c r="A93" s="55"/>
      <c r="B93" s="56"/>
      <c r="C93" s="57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>
      <c r="A94" s="55"/>
      <c r="B94" s="56"/>
      <c r="C94" s="57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>
      <c r="A95" s="55"/>
      <c r="B95" s="56"/>
      <c r="C95" s="57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>
      <c r="A96" s="55"/>
      <c r="B96" s="56"/>
      <c r="C96" s="57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>
      <c r="A97" s="55"/>
      <c r="B97" s="56"/>
      <c r="C97" s="57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>
      <c r="A98" s="55"/>
      <c r="B98" s="56"/>
      <c r="C98" s="57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>
      <c r="A99" s="55"/>
      <c r="B99" s="56"/>
      <c r="C99" s="57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>
      <c r="A100" s="55"/>
      <c r="B100" s="56"/>
      <c r="C100" s="57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</sheetData>
  <sheetProtection/>
  <mergeCells count="25">
    <mergeCell ref="C53:C55"/>
    <mergeCell ref="C56:C58"/>
    <mergeCell ref="C59:C61"/>
    <mergeCell ref="C43:C45"/>
    <mergeCell ref="C46:C48"/>
    <mergeCell ref="C49:C52"/>
    <mergeCell ref="C36:C39"/>
    <mergeCell ref="A1:A10"/>
    <mergeCell ref="A27:A36"/>
    <mergeCell ref="C7:C9"/>
    <mergeCell ref="C10:C13"/>
    <mergeCell ref="C4:C6"/>
    <mergeCell ref="C20:C22"/>
    <mergeCell ref="C1:C3"/>
    <mergeCell ref="C27:C29"/>
    <mergeCell ref="A53:A62"/>
    <mergeCell ref="A40:A49"/>
    <mergeCell ref="C14:C16"/>
    <mergeCell ref="C17:C19"/>
    <mergeCell ref="C23:C26"/>
    <mergeCell ref="C30:C32"/>
    <mergeCell ref="C33:C35"/>
    <mergeCell ref="A14:A23"/>
    <mergeCell ref="C62:C65"/>
    <mergeCell ref="C40:C42"/>
  </mergeCells>
  <printOptions/>
  <pageMargins left="0.13" right="0.16" top="0.13" bottom="0.65" header="0.13" footer="0.492125985"/>
  <pageSetup fitToHeight="1" fitToWidth="1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38"/>
  <sheetViews>
    <sheetView zoomScale="71" zoomScaleNormal="71" zoomScalePageLayoutView="0" workbookViewId="0" topLeftCell="C1">
      <selection activeCell="A10" sqref="A10"/>
    </sheetView>
  </sheetViews>
  <sheetFormatPr defaultColWidth="9.140625" defaultRowHeight="12.75"/>
  <cols>
    <col min="1" max="6" width="25.00390625" style="0" customWidth="1"/>
    <col min="7" max="7" width="7.140625" style="0" bestFit="1" customWidth="1"/>
    <col min="8" max="8" width="21.421875" style="0" bestFit="1" customWidth="1"/>
    <col min="10" max="10" width="9.7109375" style="146" customWidth="1"/>
    <col min="11" max="11" width="4.140625" style="0" bestFit="1" customWidth="1"/>
    <col min="12" max="12" width="11.8515625" style="0" customWidth="1"/>
    <col min="15" max="15" width="12.421875" style="0" bestFit="1" customWidth="1"/>
    <col min="19" max="19" width="10.421875" style="0" bestFit="1" customWidth="1"/>
  </cols>
  <sheetData>
    <row r="1" spans="1:26" ht="13.5" thickBot="1">
      <c r="A1" s="96" t="s">
        <v>100</v>
      </c>
      <c r="B1" s="94"/>
      <c r="C1" s="96"/>
      <c r="D1" s="94"/>
      <c r="E1" s="94"/>
      <c r="F1" s="94"/>
      <c r="G1" s="44"/>
      <c r="H1" s="44"/>
      <c r="I1" s="44"/>
      <c r="J1" s="195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thickBot="1">
      <c r="A2" s="94"/>
      <c r="B2" s="94"/>
      <c r="C2" s="220">
        <v>2.5</v>
      </c>
      <c r="D2" s="94"/>
      <c r="E2" s="194">
        <f>G8/30</f>
        <v>10</v>
      </c>
      <c r="F2" s="94"/>
      <c r="G2" s="195"/>
      <c r="H2" s="44"/>
      <c r="I2" s="44"/>
      <c r="J2" s="19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thickBot="1">
      <c r="A3" s="94"/>
      <c r="B3" s="94"/>
      <c r="C3" s="94"/>
      <c r="D3" s="94"/>
      <c r="E3" s="94"/>
      <c r="F3" s="94"/>
      <c r="G3" s="195"/>
      <c r="H3" s="469" t="s">
        <v>101</v>
      </c>
      <c r="I3" s="469"/>
      <c r="J3" s="196" t="s">
        <v>19</v>
      </c>
      <c r="K3" s="196" t="s">
        <v>128</v>
      </c>
      <c r="L3" s="44"/>
      <c r="M3" s="196" t="s">
        <v>144</v>
      </c>
      <c r="N3" s="206" t="s">
        <v>145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120" customFormat="1" ht="39.75" customHeight="1">
      <c r="A4" s="219" t="str">
        <f>CONCATENATE(cronograma!$C$3," ",TEXT(cronograma!$C$4,"aaaa"))</f>
        <v>Festa Junina 2010</v>
      </c>
      <c r="B4" s="219" t="str">
        <f>$A$4</f>
        <v>Festa Junina 2010</v>
      </c>
      <c r="C4" s="219" t="str">
        <f>$A$4</f>
        <v>Festa Junina 2010</v>
      </c>
      <c r="D4" s="219" t="str">
        <f>$A$4</f>
        <v>Festa Junina 2010</v>
      </c>
      <c r="E4" s="219" t="str">
        <f>A4</f>
        <v>Festa Junina 2010</v>
      </c>
      <c r="F4" s="219" t="str">
        <f>B4</f>
        <v>Festa Junina 2010</v>
      </c>
      <c r="G4" s="196">
        <v>420</v>
      </c>
      <c r="H4" s="141" t="str">
        <f>cronograma!E6</f>
        <v>um espetinho</v>
      </c>
      <c r="I4" s="142">
        <f>cronograma!I6</f>
        <v>2</v>
      </c>
      <c r="J4" s="196">
        <f>G4*I4</f>
        <v>840</v>
      </c>
      <c r="K4" s="119">
        <f>ROUNDUP(G4/30,0)</f>
        <v>14</v>
      </c>
      <c r="L4" s="201" t="s">
        <v>135</v>
      </c>
      <c r="M4" s="119">
        <f>270+(14*5)</f>
        <v>340</v>
      </c>
      <c r="N4" s="207">
        <f>G4-M4</f>
        <v>80</v>
      </c>
      <c r="O4" s="205">
        <f>N4*I4</f>
        <v>160</v>
      </c>
      <c r="P4" s="119"/>
      <c r="Q4" s="119"/>
      <c r="R4" s="119"/>
      <c r="S4" s="44"/>
      <c r="T4" s="119"/>
      <c r="U4" s="119"/>
      <c r="V4" s="119"/>
      <c r="W4" s="119"/>
      <c r="X4" s="119"/>
      <c r="Y4" s="119"/>
      <c r="Z4" s="119"/>
    </row>
    <row r="5" spans="1:26" s="122" customFormat="1" ht="39.75" customHeight="1">
      <c r="A5" s="140"/>
      <c r="B5" s="140"/>
      <c r="C5" s="140"/>
      <c r="D5" s="140"/>
      <c r="E5" s="140"/>
      <c r="F5" s="140"/>
      <c r="G5" s="196">
        <v>150</v>
      </c>
      <c r="H5" s="141" t="str">
        <f>cronograma!E7</f>
        <v>200ml de refrigerante</v>
      </c>
      <c r="I5" s="142">
        <f>cronograma!I7</f>
        <v>1</v>
      </c>
      <c r="J5" s="196">
        <f aca="true" t="shared" si="0" ref="J5:J13">G5*I5</f>
        <v>150</v>
      </c>
      <c r="K5" s="119">
        <f aca="true" t="shared" si="1" ref="K5:K13">ROUNDUP(G5/30,0)</f>
        <v>5</v>
      </c>
      <c r="L5" s="201" t="s">
        <v>135</v>
      </c>
      <c r="M5" s="119">
        <f>(16*5)+3</f>
        <v>83</v>
      </c>
      <c r="N5" s="207">
        <f aca="true" t="shared" si="2" ref="N5:N13">G5-M5</f>
        <v>67</v>
      </c>
      <c r="O5" s="205">
        <f aca="true" t="shared" si="3" ref="O5:O13">N5*I5</f>
        <v>67</v>
      </c>
      <c r="P5" s="121"/>
      <c r="Q5" s="121"/>
      <c r="R5" s="121"/>
      <c r="S5" s="44"/>
      <c r="T5" s="121"/>
      <c r="U5" s="121"/>
      <c r="V5" s="121"/>
      <c r="W5" s="121"/>
      <c r="X5" s="121"/>
      <c r="Y5" s="121"/>
      <c r="Z5" s="121"/>
    </row>
    <row r="6" spans="1:26" s="124" customFormat="1" ht="39.75" customHeight="1" thickBot="1">
      <c r="A6" s="140" t="str">
        <f>TEXT($C$2,"R$ #0,00")</f>
        <v>R$ 2,50</v>
      </c>
      <c r="B6" s="140" t="str">
        <f>$A$6</f>
        <v>R$ 2,50</v>
      </c>
      <c r="C6" s="255" t="str">
        <f>$A$6</f>
        <v>R$ 2,50</v>
      </c>
      <c r="D6" s="140" t="str">
        <f>$A$6</f>
        <v>R$ 2,50</v>
      </c>
      <c r="E6" s="140" t="str">
        <f>$A$6</f>
        <v>R$ 2,50</v>
      </c>
      <c r="F6" s="140" t="str">
        <f>$A$6</f>
        <v>R$ 2,50</v>
      </c>
      <c r="G6" s="196">
        <v>0</v>
      </c>
      <c r="H6" s="141" t="s">
        <v>270</v>
      </c>
      <c r="I6" s="142">
        <v>0.5</v>
      </c>
      <c r="J6" s="196">
        <f t="shared" si="0"/>
        <v>0</v>
      </c>
      <c r="K6" s="119">
        <f t="shared" si="1"/>
        <v>0</v>
      </c>
      <c r="L6" s="201" t="s">
        <v>136</v>
      </c>
      <c r="M6" s="119">
        <v>0</v>
      </c>
      <c r="N6" s="207">
        <f t="shared" si="2"/>
        <v>0</v>
      </c>
      <c r="O6" s="205">
        <f t="shared" si="3"/>
        <v>0</v>
      </c>
      <c r="P6" s="123"/>
      <c r="Q6" s="123"/>
      <c r="R6" s="123"/>
      <c r="S6" s="44"/>
      <c r="T6" s="123"/>
      <c r="U6" s="123"/>
      <c r="V6" s="123"/>
      <c r="W6" s="123"/>
      <c r="X6" s="123"/>
      <c r="Y6" s="123"/>
      <c r="Z6" s="123"/>
    </row>
    <row r="7" spans="1:26" s="120" customFormat="1" ht="39.75" customHeight="1">
      <c r="A7" s="219" t="str">
        <f>$A$4</f>
        <v>Festa Junina 2010</v>
      </c>
      <c r="B7" s="219" t="str">
        <f>$A$4</f>
        <v>Festa Junina 2010</v>
      </c>
      <c r="C7" s="219" t="str">
        <f>$A$4</f>
        <v>Festa Junina 2010</v>
      </c>
      <c r="D7" s="219" t="str">
        <f>$A$4</f>
        <v>Festa Junina 2010</v>
      </c>
      <c r="E7" s="219" t="str">
        <f>A7</f>
        <v>Festa Junina 2010</v>
      </c>
      <c r="F7" s="219" t="str">
        <f>B7</f>
        <v>Festa Junina 2010</v>
      </c>
      <c r="G7" s="196">
        <v>500</v>
      </c>
      <c r="H7" s="141" t="str">
        <f>cronograma!E9</f>
        <v>um jogo</v>
      </c>
      <c r="I7" s="142">
        <f>cronograma!I9</f>
        <v>1</v>
      </c>
      <c r="J7" s="196">
        <f t="shared" si="0"/>
        <v>500</v>
      </c>
      <c r="K7" s="119">
        <f t="shared" si="1"/>
        <v>17</v>
      </c>
      <c r="L7" s="201" t="s">
        <v>136</v>
      </c>
      <c r="M7" s="119">
        <f>(6*5)+2</f>
        <v>32</v>
      </c>
      <c r="N7" s="207">
        <f t="shared" si="2"/>
        <v>468</v>
      </c>
      <c r="O7" s="205">
        <f t="shared" si="3"/>
        <v>468</v>
      </c>
      <c r="P7" s="119"/>
      <c r="Q7" s="119"/>
      <c r="R7" s="119"/>
      <c r="S7" s="44"/>
      <c r="T7" s="119"/>
      <c r="U7" s="119"/>
      <c r="V7" s="119"/>
      <c r="W7" s="119"/>
      <c r="X7" s="119"/>
      <c r="Y7" s="119"/>
      <c r="Z7" s="119"/>
    </row>
    <row r="8" spans="1:26" s="122" customFormat="1" ht="39.75" customHeight="1">
      <c r="A8" s="140"/>
      <c r="B8" s="140"/>
      <c r="C8" s="140"/>
      <c r="D8" s="140"/>
      <c r="E8" s="140"/>
      <c r="F8" s="140"/>
      <c r="G8" s="196">
        <v>300</v>
      </c>
      <c r="H8" s="141" t="str">
        <f>cronograma!L6</f>
        <v>doce ou pipoca</v>
      </c>
      <c r="I8" s="142">
        <f>cronograma!N6</f>
        <v>0.5</v>
      </c>
      <c r="J8" s="196">
        <f t="shared" si="0"/>
        <v>150</v>
      </c>
      <c r="K8" s="119">
        <f t="shared" si="1"/>
        <v>10</v>
      </c>
      <c r="L8" s="201" t="s">
        <v>136</v>
      </c>
      <c r="M8" s="119">
        <f>(200)+(5*5)+2</f>
        <v>227</v>
      </c>
      <c r="N8" s="207">
        <f t="shared" si="2"/>
        <v>73</v>
      </c>
      <c r="O8" s="205">
        <f t="shared" si="3"/>
        <v>36.5</v>
      </c>
      <c r="P8" s="121"/>
      <c r="Q8" s="121"/>
      <c r="R8" s="121"/>
      <c r="S8" s="44"/>
      <c r="T8" s="121"/>
      <c r="U8" s="121"/>
      <c r="V8" s="121"/>
      <c r="W8" s="121"/>
      <c r="X8" s="121"/>
      <c r="Y8" s="121"/>
      <c r="Z8" s="121"/>
    </row>
    <row r="9" spans="1:26" s="124" customFormat="1" ht="39.75" customHeight="1" thickBot="1">
      <c r="A9" s="140" t="str">
        <f aca="true" t="shared" si="4" ref="A9:F9">$A$6</f>
        <v>R$ 2,50</v>
      </c>
      <c r="B9" s="140" t="str">
        <f t="shared" si="4"/>
        <v>R$ 2,50</v>
      </c>
      <c r="C9" s="140" t="str">
        <f t="shared" si="4"/>
        <v>R$ 2,50</v>
      </c>
      <c r="D9" s="140" t="str">
        <f t="shared" si="4"/>
        <v>R$ 2,50</v>
      </c>
      <c r="E9" s="140" t="str">
        <f t="shared" si="4"/>
        <v>R$ 2,50</v>
      </c>
      <c r="F9" s="140" t="str">
        <f t="shared" si="4"/>
        <v>R$ 2,50</v>
      </c>
      <c r="G9" s="196">
        <v>150</v>
      </c>
      <c r="H9" s="141" t="str">
        <f>cronograma!L7</f>
        <v>arroz doce ou canjica</v>
      </c>
      <c r="I9" s="142">
        <f>cronograma!N7</f>
        <v>1</v>
      </c>
      <c r="J9" s="196">
        <f t="shared" si="0"/>
        <v>150</v>
      </c>
      <c r="K9" s="119">
        <f t="shared" si="1"/>
        <v>5</v>
      </c>
      <c r="L9" s="201" t="s">
        <v>134</v>
      </c>
      <c r="M9" s="119">
        <f>50+(7*5)+1</f>
        <v>86</v>
      </c>
      <c r="N9" s="207">
        <f t="shared" si="2"/>
        <v>64</v>
      </c>
      <c r="O9" s="205">
        <f t="shared" si="3"/>
        <v>64</v>
      </c>
      <c r="P9" s="123"/>
      <c r="Q9" s="123"/>
      <c r="R9" s="123"/>
      <c r="S9" s="44"/>
      <c r="T9" s="123"/>
      <c r="U9" s="123"/>
      <c r="V9" s="123"/>
      <c r="W9" s="123"/>
      <c r="X9" s="123"/>
      <c r="Y9" s="123"/>
      <c r="Z9" s="123"/>
    </row>
    <row r="10" spans="1:26" s="120" customFormat="1" ht="39.75" customHeight="1">
      <c r="A10" s="219" t="str">
        <f>$A$4</f>
        <v>Festa Junina 2010</v>
      </c>
      <c r="B10" s="219" t="str">
        <f>$A$4</f>
        <v>Festa Junina 2010</v>
      </c>
      <c r="C10" s="219" t="str">
        <f>$A$4</f>
        <v>Festa Junina 2010</v>
      </c>
      <c r="D10" s="219" t="str">
        <f>$A$4</f>
        <v>Festa Junina 2010</v>
      </c>
      <c r="E10" s="219" t="str">
        <f>A10</f>
        <v>Festa Junina 2010</v>
      </c>
      <c r="F10" s="219" t="str">
        <f>B10</f>
        <v>Festa Junina 2010</v>
      </c>
      <c r="G10" s="196">
        <v>150</v>
      </c>
      <c r="H10" s="141" t="str">
        <f>cronograma!L8</f>
        <v>pedaço de bolo ou torta</v>
      </c>
      <c r="I10" s="142">
        <f>cronograma!N8</f>
        <v>1</v>
      </c>
      <c r="J10" s="196">
        <f t="shared" si="0"/>
        <v>150</v>
      </c>
      <c r="K10" s="119">
        <f t="shared" si="1"/>
        <v>5</v>
      </c>
      <c r="L10" s="201" t="s">
        <v>134</v>
      </c>
      <c r="M10" s="119">
        <f>50+(15*5)+8</f>
        <v>133</v>
      </c>
      <c r="N10" s="207">
        <f t="shared" si="2"/>
        <v>17</v>
      </c>
      <c r="O10" s="205">
        <f t="shared" si="3"/>
        <v>17</v>
      </c>
      <c r="P10" s="119"/>
      <c r="Q10" s="119"/>
      <c r="R10" s="119"/>
      <c r="S10" s="44"/>
      <c r="T10" s="119"/>
      <c r="U10" s="119"/>
      <c r="V10" s="119"/>
      <c r="W10" s="119"/>
      <c r="X10" s="119"/>
      <c r="Y10" s="119"/>
      <c r="Z10" s="119"/>
    </row>
    <row r="11" spans="1:26" s="122" customFormat="1" ht="39.75" customHeight="1">
      <c r="A11" s="140"/>
      <c r="B11" s="140"/>
      <c r="C11" s="140"/>
      <c r="D11" s="140"/>
      <c r="E11" s="140"/>
      <c r="F11" s="140"/>
      <c r="G11" s="196">
        <v>150</v>
      </c>
      <c r="H11" s="141" t="str">
        <f>cronograma!L9</f>
        <v>pastel</v>
      </c>
      <c r="I11" s="142">
        <f>cronograma!N9</f>
        <v>2</v>
      </c>
      <c r="J11" s="196">
        <f t="shared" si="0"/>
        <v>300</v>
      </c>
      <c r="K11" s="119">
        <f t="shared" si="1"/>
        <v>5</v>
      </c>
      <c r="L11" s="201" t="s">
        <v>135</v>
      </c>
      <c r="M11" s="119">
        <f>50+(6*5)</f>
        <v>80</v>
      </c>
      <c r="N11" s="207">
        <f t="shared" si="2"/>
        <v>70</v>
      </c>
      <c r="O11" s="205">
        <f t="shared" si="3"/>
        <v>140</v>
      </c>
      <c r="P11" s="121"/>
      <c r="Q11" s="121"/>
      <c r="R11" s="121"/>
      <c r="S11" s="44"/>
      <c r="T11" s="121"/>
      <c r="U11" s="121"/>
      <c r="V11" s="121"/>
      <c r="W11" s="121"/>
      <c r="X11" s="121"/>
      <c r="Y11" s="121"/>
      <c r="Z11" s="121"/>
    </row>
    <row r="12" spans="1:26" s="124" customFormat="1" ht="39.75" customHeight="1" thickBot="1">
      <c r="A12" s="140" t="str">
        <f aca="true" t="shared" si="5" ref="A12:F12">$A$6</f>
        <v>R$ 2,50</v>
      </c>
      <c r="B12" s="140" t="str">
        <f t="shared" si="5"/>
        <v>R$ 2,50</v>
      </c>
      <c r="C12" s="140" t="str">
        <f t="shared" si="5"/>
        <v>R$ 2,50</v>
      </c>
      <c r="D12" s="140" t="str">
        <f t="shared" si="5"/>
        <v>R$ 2,50</v>
      </c>
      <c r="E12" s="140" t="str">
        <f t="shared" si="5"/>
        <v>R$ 2,50</v>
      </c>
      <c r="F12" s="140" t="str">
        <f t="shared" si="5"/>
        <v>R$ 2,50</v>
      </c>
      <c r="G12" s="196">
        <v>150</v>
      </c>
      <c r="H12" s="141" t="str">
        <f>cronograma!L10</f>
        <v>milho</v>
      </c>
      <c r="I12" s="142">
        <f>cronograma!N10</f>
        <v>0</v>
      </c>
      <c r="J12" s="196">
        <f t="shared" si="0"/>
        <v>0</v>
      </c>
      <c r="K12" s="119">
        <f t="shared" si="1"/>
        <v>5</v>
      </c>
      <c r="L12" s="201" t="s">
        <v>137</v>
      </c>
      <c r="M12" s="119">
        <f>50+(11*5)+12</f>
        <v>117</v>
      </c>
      <c r="N12" s="207">
        <f t="shared" si="2"/>
        <v>33</v>
      </c>
      <c r="O12" s="205">
        <f t="shared" si="3"/>
        <v>0</v>
      </c>
      <c r="P12" s="123"/>
      <c r="Q12" s="123"/>
      <c r="R12" s="123"/>
      <c r="S12" s="44"/>
      <c r="T12" s="123"/>
      <c r="U12" s="123"/>
      <c r="V12" s="123"/>
      <c r="W12" s="123"/>
      <c r="X12" s="123"/>
      <c r="Y12" s="123"/>
      <c r="Z12" s="123"/>
    </row>
    <row r="13" spans="1:26" s="120" customFormat="1" ht="39.75" customHeight="1">
      <c r="A13" s="219" t="str">
        <f>$A$4</f>
        <v>Festa Junina 2010</v>
      </c>
      <c r="B13" s="219" t="str">
        <f>$A$4</f>
        <v>Festa Junina 2010</v>
      </c>
      <c r="C13" s="219" t="str">
        <f>$A$4</f>
        <v>Festa Junina 2010</v>
      </c>
      <c r="D13" s="219" t="str">
        <f>$A$4</f>
        <v>Festa Junina 2010</v>
      </c>
      <c r="E13" s="219" t="str">
        <f>A13</f>
        <v>Festa Junina 2010</v>
      </c>
      <c r="F13" s="219" t="str">
        <f>B13</f>
        <v>Festa Junina 2010</v>
      </c>
      <c r="G13" s="196">
        <v>400</v>
      </c>
      <c r="H13" s="141" t="s">
        <v>127</v>
      </c>
      <c r="I13" s="142">
        <v>0.5</v>
      </c>
      <c r="J13" s="196">
        <f t="shared" si="0"/>
        <v>200</v>
      </c>
      <c r="K13" s="119">
        <f t="shared" si="1"/>
        <v>14</v>
      </c>
      <c r="L13" s="201" t="s">
        <v>136</v>
      </c>
      <c r="M13" s="119">
        <f>300+(5*5)+4</f>
        <v>329</v>
      </c>
      <c r="N13" s="207">
        <f t="shared" si="2"/>
        <v>71</v>
      </c>
      <c r="O13" s="205">
        <f t="shared" si="3"/>
        <v>35.5</v>
      </c>
      <c r="P13" s="119"/>
      <c r="Q13" s="119"/>
      <c r="R13" s="119"/>
      <c r="S13" s="44"/>
      <c r="T13" s="119"/>
      <c r="U13" s="119"/>
      <c r="V13" s="119"/>
      <c r="W13" s="119"/>
      <c r="X13" s="119"/>
      <c r="Y13" s="119"/>
      <c r="Z13" s="119"/>
    </row>
    <row r="14" spans="1:26" s="122" customFormat="1" ht="39.75" customHeight="1" thickBot="1">
      <c r="A14" s="140"/>
      <c r="B14" s="140"/>
      <c r="C14" s="140"/>
      <c r="D14" s="140"/>
      <c r="E14" s="140"/>
      <c r="F14" s="140"/>
      <c r="G14" s="197">
        <f>SUM(G4:G13)</f>
        <v>2370</v>
      </c>
      <c r="H14" s="121"/>
      <c r="I14" s="121"/>
      <c r="J14" s="197">
        <f>SUM(J4:J13)</f>
        <v>2440</v>
      </c>
      <c r="K14" s="121"/>
      <c r="L14" s="121"/>
      <c r="M14" s="121"/>
      <c r="N14" s="197">
        <f>SUM(N4:N13)</f>
        <v>943</v>
      </c>
      <c r="O14" s="205">
        <f>SUM(O4:O13)</f>
        <v>988</v>
      </c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s="124" customFormat="1" ht="39.75" customHeight="1" thickBot="1">
      <c r="A15" s="140" t="str">
        <f aca="true" t="shared" si="6" ref="A15:F15">$A$6</f>
        <v>R$ 2,50</v>
      </c>
      <c r="B15" s="140" t="str">
        <f t="shared" si="6"/>
        <v>R$ 2,50</v>
      </c>
      <c r="C15" s="140" t="str">
        <f t="shared" si="6"/>
        <v>R$ 2,50</v>
      </c>
      <c r="D15" s="140" t="str">
        <f t="shared" si="6"/>
        <v>R$ 2,50</v>
      </c>
      <c r="E15" s="140" t="str">
        <f t="shared" si="6"/>
        <v>R$ 2,50</v>
      </c>
      <c r="F15" s="140" t="str">
        <f t="shared" si="6"/>
        <v>R$ 2,50</v>
      </c>
      <c r="G15" s="470" t="s">
        <v>271</v>
      </c>
      <c r="H15" s="471"/>
      <c r="I15" s="471"/>
      <c r="J15" s="471"/>
      <c r="K15" s="471"/>
      <c r="L15" s="471"/>
      <c r="M15" s="251" t="s">
        <v>275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s="120" customFormat="1" ht="39.75" customHeight="1">
      <c r="A16" s="219" t="str">
        <f>$A$4</f>
        <v>Festa Junina 2010</v>
      </c>
      <c r="B16" s="219" t="str">
        <f>$A$4</f>
        <v>Festa Junina 2010</v>
      </c>
      <c r="C16" s="219" t="str">
        <f>$A$4</f>
        <v>Festa Junina 2010</v>
      </c>
      <c r="D16" s="219" t="str">
        <f>$A$4</f>
        <v>Festa Junina 2010</v>
      </c>
      <c r="E16" s="219" t="str">
        <f>A16</f>
        <v>Festa Junina 2010</v>
      </c>
      <c r="F16" s="219" t="str">
        <f>B16</f>
        <v>Festa Junina 2010</v>
      </c>
      <c r="G16" s="243">
        <v>20</v>
      </c>
      <c r="H16" s="256" t="s">
        <v>135</v>
      </c>
      <c r="I16" s="142">
        <v>2.5</v>
      </c>
      <c r="J16" s="243">
        <f>G16*30</f>
        <v>600</v>
      </c>
      <c r="K16" s="244"/>
      <c r="L16" s="248">
        <f>J16*I16</f>
        <v>1500</v>
      </c>
      <c r="M16" s="249">
        <f>J16/25</f>
        <v>24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s="122" customFormat="1" ht="39.75" customHeight="1">
      <c r="A17" s="140"/>
      <c r="B17" s="140"/>
      <c r="C17" s="140"/>
      <c r="D17" s="140"/>
      <c r="E17" s="140"/>
      <c r="F17" s="140"/>
      <c r="G17" s="243">
        <v>10</v>
      </c>
      <c r="H17" s="141" t="s">
        <v>136</v>
      </c>
      <c r="I17" s="142">
        <v>2</v>
      </c>
      <c r="J17" s="243">
        <f>G17*30</f>
        <v>300</v>
      </c>
      <c r="K17" s="245"/>
      <c r="L17" s="248">
        <f>J17*I17</f>
        <v>600</v>
      </c>
      <c r="M17" s="249">
        <f>J17/25</f>
        <v>12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s="124" customFormat="1" ht="39.75" customHeight="1">
      <c r="A18" s="140" t="str">
        <f aca="true" t="shared" si="7" ref="A18:F18">$A$6</f>
        <v>R$ 2,50</v>
      </c>
      <c r="B18" s="140" t="str">
        <f t="shared" si="7"/>
        <v>R$ 2,50</v>
      </c>
      <c r="C18" s="140" t="str">
        <f t="shared" si="7"/>
        <v>R$ 2,50</v>
      </c>
      <c r="D18" s="140" t="str">
        <f t="shared" si="7"/>
        <v>R$ 2,50</v>
      </c>
      <c r="E18" s="140" t="str">
        <f t="shared" si="7"/>
        <v>R$ 2,50</v>
      </c>
      <c r="F18" s="140" t="str">
        <f t="shared" si="7"/>
        <v>R$ 2,50</v>
      </c>
      <c r="G18" s="243">
        <v>20</v>
      </c>
      <c r="H18" s="141" t="s">
        <v>134</v>
      </c>
      <c r="I18" s="142">
        <v>1</v>
      </c>
      <c r="J18" s="243">
        <f>G18*30</f>
        <v>600</v>
      </c>
      <c r="K18" s="246"/>
      <c r="L18" s="248">
        <f>J18*I18</f>
        <v>600</v>
      </c>
      <c r="M18" s="249">
        <f>J18/25</f>
        <v>24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33.75" customHeight="1">
      <c r="A19" s="44"/>
      <c r="B19" s="44"/>
      <c r="C19" s="44"/>
      <c r="D19" s="44"/>
      <c r="E19" s="44"/>
      <c r="F19" s="44"/>
      <c r="G19" s="243">
        <v>20</v>
      </c>
      <c r="H19" s="141" t="s">
        <v>137</v>
      </c>
      <c r="I19" s="142">
        <v>0.5</v>
      </c>
      <c r="J19" s="243">
        <f>G19*30</f>
        <v>600</v>
      </c>
      <c r="K19" s="244"/>
      <c r="L19" s="248">
        <f>J19*I19</f>
        <v>300</v>
      </c>
      <c r="M19" s="249">
        <f>J19/25</f>
        <v>24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27.75" customHeight="1" thickBot="1">
      <c r="A20" s="44"/>
      <c r="B20" s="44"/>
      <c r="C20" s="44"/>
      <c r="D20" s="44"/>
      <c r="E20" s="44"/>
      <c r="F20" s="44"/>
      <c r="G20" s="253"/>
      <c r="H20" s="253"/>
      <c r="I20" s="253"/>
      <c r="J20" s="254"/>
      <c r="K20" s="253"/>
      <c r="L20" s="252">
        <f>SUM(L16:L19)</f>
        <v>3000</v>
      </c>
      <c r="M20" s="250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>
      <c r="A21" s="44"/>
      <c r="B21" s="44"/>
      <c r="C21" s="44"/>
      <c r="D21" s="44"/>
      <c r="E21" s="44"/>
      <c r="F21" s="44"/>
      <c r="G21" s="44"/>
      <c r="H21" s="44"/>
      <c r="I21" s="44"/>
      <c r="J21" s="195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>
      <c r="A22" s="44"/>
      <c r="B22" s="44"/>
      <c r="C22" s="44"/>
      <c r="D22" s="44"/>
      <c r="E22" s="44"/>
      <c r="F22" s="44"/>
      <c r="G22" s="45">
        <v>10</v>
      </c>
      <c r="H22" s="258" t="s">
        <v>269</v>
      </c>
      <c r="I22" s="257">
        <v>2.5</v>
      </c>
      <c r="J22" s="259">
        <f>G22*30</f>
        <v>300</v>
      </c>
      <c r="K22" s="44"/>
      <c r="L22" s="260">
        <f>J22*I22</f>
        <v>750</v>
      </c>
      <c r="M22" s="45">
        <v>12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.75">
      <c r="A23" s="44"/>
      <c r="B23" s="44"/>
      <c r="C23" s="44"/>
      <c r="D23" s="44"/>
      <c r="E23" s="44"/>
      <c r="F23" s="44"/>
      <c r="G23" s="44"/>
      <c r="H23" s="44"/>
      <c r="I23" s="44"/>
      <c r="J23" s="195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.75">
      <c r="A24" s="44"/>
      <c r="B24" s="44"/>
      <c r="C24" s="44"/>
      <c r="D24" s="44"/>
      <c r="E24" s="44"/>
      <c r="F24" s="44"/>
      <c r="G24" s="44"/>
      <c r="H24" s="44"/>
      <c r="I24" s="44"/>
      <c r="J24" s="19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>
      <c r="A25" s="44"/>
      <c r="B25" s="44"/>
      <c r="C25" s="44"/>
      <c r="D25" s="44"/>
      <c r="E25" s="44"/>
      <c r="F25" s="44"/>
      <c r="G25" s="44"/>
      <c r="H25" s="44"/>
      <c r="I25" s="44"/>
      <c r="J25" s="195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>
      <c r="A26" s="44"/>
      <c r="B26" s="44"/>
      <c r="C26" s="44"/>
      <c r="D26" s="44"/>
      <c r="E26" s="44"/>
      <c r="F26" s="44"/>
      <c r="G26" s="44"/>
      <c r="H26" s="44"/>
      <c r="I26" s="44"/>
      <c r="J26" s="195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>
      <c r="A27" s="44"/>
      <c r="B27" s="44"/>
      <c r="C27" s="44"/>
      <c r="D27" s="44"/>
      <c r="E27" s="44"/>
      <c r="F27" s="44"/>
      <c r="G27" s="44"/>
      <c r="H27" s="44"/>
      <c r="I27" s="44"/>
      <c r="J27" s="195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>
      <c r="A28" s="44"/>
      <c r="B28" s="44"/>
      <c r="C28" s="44"/>
      <c r="D28" s="44"/>
      <c r="E28" s="44"/>
      <c r="F28" s="44"/>
      <c r="G28" s="44"/>
      <c r="H28" s="44"/>
      <c r="I28" s="44"/>
      <c r="J28" s="19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>
      <c r="A29" s="44"/>
      <c r="B29" s="44"/>
      <c r="C29" s="44"/>
      <c r="D29" s="44"/>
      <c r="E29" s="44"/>
      <c r="F29" s="44"/>
      <c r="G29" s="44"/>
      <c r="H29" s="44"/>
      <c r="I29" s="44"/>
      <c r="J29" s="19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>
      <c r="A30" s="44"/>
      <c r="B30" s="44"/>
      <c r="C30" s="44"/>
      <c r="D30" s="44"/>
      <c r="E30" s="44"/>
      <c r="F30" s="44"/>
      <c r="G30" s="44"/>
      <c r="H30" s="44"/>
      <c r="I30" s="44"/>
      <c r="J30" s="195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>
      <c r="A31" s="44"/>
      <c r="B31" s="44"/>
      <c r="C31" s="44"/>
      <c r="D31" s="44"/>
      <c r="E31" s="44"/>
      <c r="F31" s="44"/>
      <c r="G31" s="44"/>
      <c r="H31" s="44"/>
      <c r="I31" s="44"/>
      <c r="J31" s="19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>
      <c r="A32" s="44"/>
      <c r="B32" s="44"/>
      <c r="C32" s="44"/>
      <c r="D32" s="44"/>
      <c r="E32" s="44"/>
      <c r="F32" s="44"/>
      <c r="G32" s="44"/>
      <c r="H32" s="44"/>
      <c r="I32" s="44"/>
      <c r="J32" s="195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>
      <c r="A33" s="44"/>
      <c r="B33" s="44"/>
      <c r="C33" s="44"/>
      <c r="D33" s="44"/>
      <c r="E33" s="44"/>
      <c r="F33" s="44"/>
      <c r="G33" s="44"/>
      <c r="H33" s="44"/>
      <c r="I33" s="44"/>
      <c r="J33" s="195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>
      <c r="A34" s="44"/>
      <c r="B34" s="44"/>
      <c r="C34" s="44"/>
      <c r="D34" s="44"/>
      <c r="E34" s="44"/>
      <c r="F34" s="44"/>
      <c r="G34" s="44"/>
      <c r="H34" s="44"/>
      <c r="I34" s="44"/>
      <c r="J34" s="195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>
      <c r="A35" s="44"/>
      <c r="B35" s="44"/>
      <c r="C35" s="44"/>
      <c r="D35" s="44"/>
      <c r="E35" s="44"/>
      <c r="F35" s="44"/>
      <c r="G35" s="44"/>
      <c r="H35" s="44"/>
      <c r="I35" s="44"/>
      <c r="J35" s="195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>
      <c r="A36" s="44"/>
      <c r="B36" s="44"/>
      <c r="C36" s="44"/>
      <c r="D36" s="44"/>
      <c r="E36" s="44"/>
      <c r="F36" s="44"/>
      <c r="G36" s="44"/>
      <c r="H36" s="44"/>
      <c r="I36" s="44"/>
      <c r="J36" s="195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>
      <c r="A37" s="44"/>
      <c r="B37" s="44"/>
      <c r="C37" s="44"/>
      <c r="D37" s="44"/>
      <c r="E37" s="44"/>
      <c r="F37" s="44"/>
      <c r="G37" s="44"/>
      <c r="H37" s="44"/>
      <c r="I37" s="44"/>
      <c r="J37" s="195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>
      <c r="A38" s="44"/>
      <c r="B38" s="44"/>
      <c r="C38" s="44"/>
      <c r="D38" s="44"/>
      <c r="E38" s="44"/>
      <c r="F38" s="44"/>
      <c r="G38" s="44"/>
      <c r="H38" s="44"/>
      <c r="I38" s="44"/>
      <c r="J38" s="195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</sheetData>
  <sheetProtection/>
  <mergeCells count="2">
    <mergeCell ref="H3:I3"/>
    <mergeCell ref="G15:L15"/>
  </mergeCells>
  <printOptions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Z49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57421875" style="0" bestFit="1" customWidth="1"/>
    <col min="2" max="2" width="10.57421875" style="0" customWidth="1"/>
    <col min="3" max="3" width="28.57421875" style="0" customWidth="1"/>
    <col min="4" max="4" width="5.7109375" style="51" customWidth="1"/>
    <col min="5" max="5" width="5.28125" style="0" customWidth="1"/>
    <col min="6" max="6" width="5.7109375" style="0" customWidth="1"/>
    <col min="7" max="7" width="22.140625" style="0" bestFit="1" customWidth="1"/>
    <col min="8" max="8" width="12.28125" style="0" bestFit="1" customWidth="1"/>
    <col min="9" max="9" width="3.421875" style="0" customWidth="1"/>
    <col min="10" max="10" width="6.57421875" style="0" bestFit="1" customWidth="1"/>
  </cols>
  <sheetData>
    <row r="1" spans="1:26" ht="13.5" thickBot="1">
      <c r="A1" s="30" t="s">
        <v>13</v>
      </c>
      <c r="B1" s="35" t="s">
        <v>0</v>
      </c>
      <c r="C1" s="31" t="s">
        <v>12</v>
      </c>
      <c r="E1" s="32" t="s">
        <v>5</v>
      </c>
      <c r="F1" s="33" t="s">
        <v>9</v>
      </c>
      <c r="G1" s="33" t="s">
        <v>10</v>
      </c>
      <c r="H1" s="41" t="s">
        <v>11</v>
      </c>
      <c r="I1" s="33"/>
      <c r="J1" s="34" t="s">
        <v>8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.75">
      <c r="A2" s="46"/>
      <c r="B2" s="15"/>
      <c r="C2" s="17"/>
      <c r="D2" s="52"/>
      <c r="E2" s="27">
        <v>180</v>
      </c>
      <c r="F2" s="15" t="s">
        <v>6</v>
      </c>
      <c r="G2" s="15" t="s">
        <v>89</v>
      </c>
      <c r="H2" s="15"/>
      <c r="I2" s="15"/>
      <c r="J2" s="17"/>
      <c r="K2" s="44"/>
      <c r="L2" s="44">
        <v>2</v>
      </c>
      <c r="M2" s="44" t="s">
        <v>7</v>
      </c>
      <c r="N2" s="44" t="s">
        <v>331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.75">
      <c r="A3" s="47"/>
      <c r="B3" s="8"/>
      <c r="C3" s="37"/>
      <c r="D3" s="52"/>
      <c r="E3" s="22">
        <v>120</v>
      </c>
      <c r="F3" s="8" t="s">
        <v>6</v>
      </c>
      <c r="G3" s="15" t="s">
        <v>90</v>
      </c>
      <c r="H3" s="8"/>
      <c r="I3" s="8"/>
      <c r="J3" s="10"/>
      <c r="K3" s="44"/>
      <c r="L3" s="44">
        <v>2</v>
      </c>
      <c r="M3" s="44" t="s">
        <v>332</v>
      </c>
      <c r="N3" s="44" t="s">
        <v>333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.75">
      <c r="A4" s="47"/>
      <c r="B4" s="8"/>
      <c r="C4" s="37"/>
      <c r="D4" s="52"/>
      <c r="E4" s="22">
        <v>100</v>
      </c>
      <c r="F4" s="8" t="s">
        <v>6</v>
      </c>
      <c r="G4" s="8" t="s">
        <v>91</v>
      </c>
      <c r="H4" s="8"/>
      <c r="I4" s="8"/>
      <c r="J4" s="10"/>
      <c r="K4" s="44"/>
      <c r="L4" s="44">
        <v>2</v>
      </c>
      <c r="M4" s="44" t="s">
        <v>332</v>
      </c>
      <c r="N4" s="44" t="s">
        <v>334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.75">
      <c r="A5" s="47"/>
      <c r="B5" s="8"/>
      <c r="C5" s="37"/>
      <c r="D5" s="52"/>
      <c r="E5" s="22"/>
      <c r="F5" s="8"/>
      <c r="G5" s="8"/>
      <c r="H5" s="8"/>
      <c r="I5" s="8"/>
      <c r="J5" s="10"/>
      <c r="K5" s="44"/>
      <c r="L5" s="44">
        <v>2</v>
      </c>
      <c r="M5" s="44" t="s">
        <v>335</v>
      </c>
      <c r="N5" s="44" t="s">
        <v>336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.75">
      <c r="A6" s="47"/>
      <c r="B6" s="8"/>
      <c r="C6" s="37"/>
      <c r="D6" s="52"/>
      <c r="E6" s="22"/>
      <c r="F6" s="8"/>
      <c r="G6" s="8"/>
      <c r="H6" s="8"/>
      <c r="I6" s="8"/>
      <c r="J6" s="10"/>
      <c r="K6" s="44"/>
      <c r="L6" s="44">
        <v>4</v>
      </c>
      <c r="M6" s="44" t="s">
        <v>337</v>
      </c>
      <c r="N6" s="44" t="s">
        <v>338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.75">
      <c r="A7" s="47"/>
      <c r="B7" s="8"/>
      <c r="C7" s="37"/>
      <c r="D7" s="52"/>
      <c r="E7" s="22"/>
      <c r="F7" s="8"/>
      <c r="G7" s="8"/>
      <c r="H7" s="8"/>
      <c r="I7" s="8"/>
      <c r="J7" s="10"/>
      <c r="K7" s="44"/>
      <c r="L7" s="44">
        <v>4</v>
      </c>
      <c r="M7" s="44" t="s">
        <v>339</v>
      </c>
      <c r="N7" s="44" t="s">
        <v>340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.75">
      <c r="A8" s="47"/>
      <c r="B8" s="8"/>
      <c r="C8" s="37"/>
      <c r="D8" s="52"/>
      <c r="E8" s="22"/>
      <c r="F8" s="8"/>
      <c r="G8" s="8"/>
      <c r="H8" s="8"/>
      <c r="I8" s="8"/>
      <c r="J8" s="10"/>
      <c r="K8" s="44"/>
      <c r="L8" s="44">
        <v>4</v>
      </c>
      <c r="M8" s="44" t="s">
        <v>332</v>
      </c>
      <c r="N8" s="44" t="s">
        <v>341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.75">
      <c r="A9" s="47"/>
      <c r="B9" s="8"/>
      <c r="C9" s="37"/>
      <c r="D9" s="52"/>
      <c r="E9" s="22"/>
      <c r="F9" s="8"/>
      <c r="G9" s="8"/>
      <c r="H9" s="8"/>
      <c r="I9" s="8"/>
      <c r="J9" s="10"/>
      <c r="K9" s="44"/>
      <c r="L9" s="44">
        <v>2</v>
      </c>
      <c r="M9" s="44" t="s">
        <v>342</v>
      </c>
      <c r="N9" s="44" t="s">
        <v>343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.75">
      <c r="A10" s="47"/>
      <c r="B10" s="8"/>
      <c r="C10" s="37"/>
      <c r="D10" s="52"/>
      <c r="E10" s="22"/>
      <c r="F10" s="8"/>
      <c r="G10" s="8"/>
      <c r="H10" s="8"/>
      <c r="I10" s="8"/>
      <c r="J10" s="10"/>
      <c r="K10" s="44"/>
      <c r="L10" s="44">
        <v>1</v>
      </c>
      <c r="M10" s="44" t="s">
        <v>332</v>
      </c>
      <c r="N10" s="44" t="s">
        <v>344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>
      <c r="A11" s="47"/>
      <c r="B11" s="8"/>
      <c r="C11" s="37"/>
      <c r="D11" s="52"/>
      <c r="E11" s="22"/>
      <c r="F11" s="8"/>
      <c r="G11" s="8"/>
      <c r="H11" s="8"/>
      <c r="I11" s="8"/>
      <c r="J11" s="10"/>
      <c r="K11" s="44"/>
      <c r="L11" s="44">
        <v>10</v>
      </c>
      <c r="M11" s="44" t="s">
        <v>332</v>
      </c>
      <c r="N11" s="44" t="s">
        <v>345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.75">
      <c r="A12" s="47"/>
      <c r="B12" s="8"/>
      <c r="C12" s="37"/>
      <c r="D12" s="52"/>
      <c r="E12" s="22"/>
      <c r="F12" s="8"/>
      <c r="G12" s="8"/>
      <c r="H12" s="8"/>
      <c r="I12" s="8"/>
      <c r="J12" s="10"/>
      <c r="K12" s="44"/>
      <c r="L12" s="44">
        <v>2</v>
      </c>
      <c r="M12" s="44" t="s">
        <v>346</v>
      </c>
      <c r="N12" s="44" t="s">
        <v>347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.75">
      <c r="A13" s="47"/>
      <c r="B13" s="8"/>
      <c r="C13" s="37"/>
      <c r="D13" s="52"/>
      <c r="E13" s="40">
        <v>60</v>
      </c>
      <c r="F13" s="39" t="s">
        <v>7</v>
      </c>
      <c r="G13" s="39" t="s">
        <v>18</v>
      </c>
      <c r="H13" s="39" t="s">
        <v>16</v>
      </c>
      <c r="I13" s="8"/>
      <c r="J13" s="10"/>
      <c r="K13" s="44"/>
      <c r="L13" s="44">
        <v>4</v>
      </c>
      <c r="M13" s="44" t="s">
        <v>332</v>
      </c>
      <c r="N13" s="44" t="s">
        <v>348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>
      <c r="A14" s="47"/>
      <c r="B14" s="8"/>
      <c r="C14" s="37"/>
      <c r="D14" s="52"/>
      <c r="E14" s="40">
        <v>500</v>
      </c>
      <c r="F14" s="39" t="s">
        <v>6</v>
      </c>
      <c r="G14" s="39" t="s">
        <v>92</v>
      </c>
      <c r="H14" s="39" t="s">
        <v>16</v>
      </c>
      <c r="I14" s="8"/>
      <c r="J14" s="10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>
      <c r="A15" s="47"/>
      <c r="B15" s="8"/>
      <c r="C15" s="37"/>
      <c r="D15" s="52"/>
      <c r="E15" s="40"/>
      <c r="F15" s="39"/>
      <c r="G15" s="39"/>
      <c r="H15" s="39"/>
      <c r="I15" s="8"/>
      <c r="J15" s="10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>
      <c r="A16" s="48"/>
      <c r="B16" s="36"/>
      <c r="C16" s="37"/>
      <c r="D16" s="52"/>
      <c r="E16" s="22"/>
      <c r="F16" s="8"/>
      <c r="G16" s="8"/>
      <c r="H16" s="8"/>
      <c r="I16" s="8"/>
      <c r="J16" s="10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23" customFormat="1" ht="12.75">
      <c r="A17" s="49"/>
      <c r="B17" s="38"/>
      <c r="C17" s="37"/>
      <c r="D17" s="53"/>
      <c r="E17" s="29"/>
      <c r="F17" s="28"/>
      <c r="G17" s="28"/>
      <c r="H17" s="28"/>
      <c r="I17" s="8"/>
      <c r="J17" s="10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>
      <c r="A18" s="48"/>
      <c r="B18" s="36"/>
      <c r="C18" s="37"/>
      <c r="D18" s="52"/>
      <c r="E18" s="29"/>
      <c r="F18" s="28"/>
      <c r="G18" s="28"/>
      <c r="H18" s="28"/>
      <c r="I18" s="8"/>
      <c r="J18" s="10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.75">
      <c r="A19" s="48"/>
      <c r="B19" s="36"/>
      <c r="C19" s="37"/>
      <c r="D19" s="52"/>
      <c r="E19" s="29"/>
      <c r="F19" s="28"/>
      <c r="G19" s="28"/>
      <c r="H19" s="28"/>
      <c r="I19" s="8"/>
      <c r="J19" s="10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>
      <c r="A20" s="48"/>
      <c r="B20" s="36"/>
      <c r="C20" s="37"/>
      <c r="D20" s="52"/>
      <c r="E20" s="29"/>
      <c r="F20" s="28"/>
      <c r="G20" s="28"/>
      <c r="H20" s="28"/>
      <c r="I20" s="8"/>
      <c r="J20" s="10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>
      <c r="A21" s="48"/>
      <c r="B21" s="36"/>
      <c r="C21" s="37"/>
      <c r="D21" s="52"/>
      <c r="E21" s="29">
        <v>720</v>
      </c>
      <c r="F21" s="28" t="s">
        <v>6</v>
      </c>
      <c r="G21" s="28" t="s">
        <v>17</v>
      </c>
      <c r="H21" s="28" t="s">
        <v>15</v>
      </c>
      <c r="I21" s="8"/>
      <c r="J21" s="10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thickBot="1">
      <c r="A22" s="50"/>
      <c r="B22" s="25"/>
      <c r="C22" s="26"/>
      <c r="D22" s="52"/>
      <c r="E22" s="24"/>
      <c r="F22" s="25"/>
      <c r="G22" s="25"/>
      <c r="H22" s="25"/>
      <c r="I22" s="25"/>
      <c r="J22" s="26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1:26" ht="12.75"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2:26" ht="12.75">
      <c r="B24" s="74" t="s">
        <v>32</v>
      </c>
      <c r="C24" s="74" t="s">
        <v>31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2:26" ht="12.75">
      <c r="B25" s="74" t="s">
        <v>27</v>
      </c>
      <c r="C25" s="74" t="s">
        <v>29</v>
      </c>
      <c r="F25" s="73">
        <v>250</v>
      </c>
      <c r="G25" s="73" t="s">
        <v>14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2:26" ht="12.75">
      <c r="B26" s="74" t="s">
        <v>28</v>
      </c>
      <c r="C26" s="74" t="s">
        <v>30</v>
      </c>
      <c r="E26">
        <f>F25*0.2</f>
        <v>50</v>
      </c>
      <c r="F26" t="s">
        <v>7</v>
      </c>
      <c r="G26" t="s">
        <v>18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5:26" ht="12.75">
      <c r="E27">
        <v>250</v>
      </c>
      <c r="F27" t="s">
        <v>6</v>
      </c>
      <c r="G27" t="s">
        <v>87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>
      <c r="A28" s="44"/>
      <c r="B28" s="44"/>
      <c r="C28" s="44"/>
      <c r="D28" s="5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>
      <c r="A29" s="44"/>
      <c r="B29" s="44"/>
      <c r="C29" s="44"/>
      <c r="D29" s="5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>
      <c r="A30" s="44"/>
      <c r="B30" s="44"/>
      <c r="C30" s="44"/>
      <c r="D30" s="5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>
      <c r="A31" s="44"/>
      <c r="B31" s="44"/>
      <c r="C31" s="44"/>
      <c r="D31" s="5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>
      <c r="A32" s="44"/>
      <c r="B32" s="44"/>
      <c r="C32" s="44"/>
      <c r="D32" s="5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>
      <c r="A33" s="44"/>
      <c r="B33" s="44"/>
      <c r="C33" s="44"/>
      <c r="D33" s="5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>
      <c r="A34" s="44"/>
      <c r="B34" s="44"/>
      <c r="C34" s="44"/>
      <c r="D34" s="5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>
      <c r="A35" s="44"/>
      <c r="B35" s="44"/>
      <c r="C35" s="44"/>
      <c r="D35" s="5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>
      <c r="A36" s="44"/>
      <c r="B36" s="44"/>
      <c r="C36" s="44"/>
      <c r="D36" s="5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>
      <c r="A37" s="44"/>
      <c r="B37" s="44"/>
      <c r="C37" s="44"/>
      <c r="D37" s="5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>
      <c r="A38" s="44"/>
      <c r="B38" s="44"/>
      <c r="C38" s="44"/>
      <c r="D38" s="5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>
      <c r="A39" s="44"/>
      <c r="B39" s="44"/>
      <c r="C39" s="44"/>
      <c r="D39" s="5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>
      <c r="A40" s="44"/>
      <c r="B40" s="44"/>
      <c r="C40" s="44"/>
      <c r="D40" s="5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>
      <c r="A41" s="44"/>
      <c r="B41" s="44"/>
      <c r="C41" s="44"/>
      <c r="D41" s="5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>
      <c r="A42" s="44"/>
      <c r="B42" s="44"/>
      <c r="C42" s="44"/>
      <c r="D42" s="5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>
      <c r="A43" s="44"/>
      <c r="B43" s="44"/>
      <c r="C43" s="44"/>
      <c r="D43" s="5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>
      <c r="A44" s="44"/>
      <c r="B44" s="44"/>
      <c r="C44" s="44"/>
      <c r="D44" s="5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>
      <c r="A45" s="44"/>
      <c r="B45" s="44"/>
      <c r="C45" s="44"/>
      <c r="D45" s="5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>
      <c r="A46" s="44"/>
      <c r="B46" s="44"/>
      <c r="C46" s="44"/>
      <c r="D46" s="5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>
      <c r="A47" s="44"/>
      <c r="B47" s="44"/>
      <c r="C47" s="44"/>
      <c r="D47" s="5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>
      <c r="A48" s="44"/>
      <c r="B48" s="44"/>
      <c r="C48" s="44"/>
      <c r="D48" s="5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>
      <c r="A49" s="44"/>
      <c r="B49" s="44"/>
      <c r="C49" s="44"/>
      <c r="D49" s="5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</sheetData>
  <sheetProtection/>
  <printOptions/>
  <pageMargins left="0.55" right="0.57" top="0.984251969" bottom="0.984251969" header="0.492125985" footer="0.49212598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</dc:creator>
  <cp:keywords/>
  <dc:description/>
  <cp:lastModifiedBy>User</cp:lastModifiedBy>
  <cp:lastPrinted>2010-10-01T19:20:13Z</cp:lastPrinted>
  <dcterms:created xsi:type="dcterms:W3CDTF">2005-06-17T15:05:02Z</dcterms:created>
  <dcterms:modified xsi:type="dcterms:W3CDTF">2021-12-21T14:28:07Z</dcterms:modified>
  <cp:category/>
  <cp:version/>
  <cp:contentType/>
  <cp:contentStatus/>
</cp:coreProperties>
</file>